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20\Inversion mensual\Informe trimestral\2do trimestre\"/>
    </mc:Choice>
  </mc:AlternateContent>
  <xr:revisionPtr revIDLastSave="0" documentId="13_ncr:1_{CA2C3EF8-5BAA-4BFC-B09F-259D0D90EA1D}" xr6:coauthVersionLast="45" xr6:coauthVersionMax="45" xr10:uidLastSave="{00000000-0000-0000-0000-000000000000}"/>
  <bookViews>
    <workbookView xWindow="-120" yWindow="-120" windowWidth="20730" windowHeight="11760" xr2:uid="{3E1E709F-4B1F-45D7-B393-C9DF4FE6216B}"/>
  </bookViews>
  <sheets>
    <sheet name="Ejec+Reprog SNIP" sheetId="1" r:id="rId1"/>
  </sheets>
  <externalReferences>
    <externalReference r:id="rId2"/>
  </externalReferences>
  <definedNames>
    <definedName name="_xlnm.Print_Area" localSheetId="0">'Ejec+Reprog SNIP'!$A$1:$Q$30</definedName>
    <definedName name="_xlnm.Print_Titles" localSheetId="0">'Ejec+Reprog SNIP'!$1:$3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9" i="1" s="1"/>
  <c r="F28" i="1"/>
  <c r="E28" i="1"/>
  <c r="Q27" i="1"/>
  <c r="P27" i="1"/>
  <c r="P23" i="1"/>
  <c r="Q23" i="1" s="1"/>
  <c r="O23" i="1"/>
  <c r="Q22" i="1"/>
  <c r="P22" i="1"/>
  <c r="O22" i="1"/>
  <c r="P20" i="1"/>
  <c r="Q20" i="1" s="1"/>
  <c r="O20" i="1"/>
  <c r="R20" i="1" s="1"/>
  <c r="S20" i="1" s="1"/>
  <c r="R19" i="1"/>
  <c r="S19" i="1" s="1"/>
  <c r="O12" i="1"/>
  <c r="P12" i="1" s="1"/>
  <c r="Q12" i="1" s="1"/>
  <c r="Q8" i="1"/>
  <c r="P8" i="1"/>
  <c r="R8" i="1" s="1"/>
  <c r="S8" i="1" s="1"/>
  <c r="O8" i="1"/>
  <c r="O5" i="1"/>
  <c r="P5" i="1" s="1"/>
  <c r="O4" i="1"/>
  <c r="L27" i="1"/>
  <c r="N26" i="1"/>
  <c r="L25" i="1"/>
  <c r="N24" i="1"/>
  <c r="K23" i="1"/>
  <c r="L22" i="1"/>
  <c r="N21" i="1"/>
  <c r="K18" i="1"/>
  <c r="L17" i="1"/>
  <c r="N16" i="1"/>
  <c r="L15" i="1"/>
  <c r="N14" i="1"/>
  <c r="L13" i="1"/>
  <c r="M12" i="1"/>
  <c r="K11" i="1"/>
  <c r="M10" i="1"/>
  <c r="K9" i="1"/>
  <c r="N7" i="1"/>
  <c r="L6" i="1"/>
  <c r="K27" i="1"/>
  <c r="M26" i="1"/>
  <c r="K25" i="1"/>
  <c r="M24" i="1"/>
  <c r="N23" i="1"/>
  <c r="K22" i="1"/>
  <c r="M21" i="1"/>
  <c r="N18" i="1"/>
  <c r="K17" i="1"/>
  <c r="M16" i="1"/>
  <c r="K15" i="1"/>
  <c r="M14" i="1"/>
  <c r="K13" i="1"/>
  <c r="L12" i="1"/>
  <c r="N11" i="1"/>
  <c r="L10" i="1"/>
  <c r="N9" i="1"/>
  <c r="M7" i="1"/>
  <c r="K6" i="1"/>
  <c r="M23" i="1"/>
  <c r="N22" i="1"/>
  <c r="L21" i="1"/>
  <c r="M18" i="1"/>
  <c r="L16" i="1"/>
  <c r="N15" i="1"/>
  <c r="L14" i="1"/>
  <c r="K12" i="1"/>
  <c r="M11" i="1"/>
  <c r="K10" i="1"/>
  <c r="L7" i="1"/>
  <c r="M27" i="1"/>
  <c r="K26" i="1"/>
  <c r="M25" i="1"/>
  <c r="K24" i="1"/>
  <c r="L23" i="1"/>
  <c r="M22" i="1"/>
  <c r="K21" i="1"/>
  <c r="L18" i="1"/>
  <c r="M15" i="1"/>
  <c r="K14" i="1"/>
  <c r="N10" i="1"/>
  <c r="L9" i="1"/>
  <c r="M6" i="1"/>
  <c r="N27" i="1"/>
  <c r="L26" i="1"/>
  <c r="N25" i="1"/>
  <c r="L24" i="1"/>
  <c r="N13" i="1"/>
  <c r="M9" i="1"/>
  <c r="N6" i="1"/>
  <c r="M17" i="1"/>
  <c r="K16" i="1"/>
  <c r="M13" i="1"/>
  <c r="N12" i="1"/>
  <c r="L11" i="1"/>
  <c r="K7" i="1"/>
  <c r="R7" i="1" l="1"/>
  <c r="S7" i="1" s="1"/>
  <c r="R16" i="1"/>
  <c r="S16" i="1" s="1"/>
  <c r="N28" i="1"/>
  <c r="M28" i="1"/>
  <c r="R14" i="1"/>
  <c r="S14" i="1" s="1"/>
  <c r="R21" i="1"/>
  <c r="S21" i="1" s="1"/>
  <c r="R24" i="1"/>
  <c r="S24" i="1" s="1"/>
  <c r="R26" i="1"/>
  <c r="S26" i="1" s="1"/>
  <c r="R10" i="1"/>
  <c r="S10" i="1" s="1"/>
  <c r="R12" i="1"/>
  <c r="S12" i="1" s="1"/>
  <c r="R6" i="1"/>
  <c r="S6" i="1" s="1"/>
  <c r="K28" i="1"/>
  <c r="R13" i="1"/>
  <c r="S13" i="1" s="1"/>
  <c r="R15" i="1"/>
  <c r="S15" i="1" s="1"/>
  <c r="R17" i="1"/>
  <c r="S17" i="1" s="1"/>
  <c r="R22" i="1"/>
  <c r="S22" i="1" s="1"/>
  <c r="R25" i="1"/>
  <c r="S25" i="1" s="1"/>
  <c r="R27" i="1"/>
  <c r="S27" i="1" s="1"/>
  <c r="L28" i="1"/>
  <c r="L29" i="1" s="1"/>
  <c r="R9" i="1"/>
  <c r="S9" i="1" s="1"/>
  <c r="R11" i="1"/>
  <c r="S11" i="1" s="1"/>
  <c r="R18" i="1"/>
  <c r="S18" i="1" s="1"/>
  <c r="R23" i="1"/>
  <c r="S23" i="1" s="1"/>
  <c r="I29" i="1"/>
  <c r="Q5" i="1"/>
  <c r="R5" i="1"/>
  <c r="S5" i="1" s="1"/>
  <c r="O28" i="1"/>
  <c r="P4" i="1"/>
  <c r="R4" i="1" l="1"/>
  <c r="S4" i="1" s="1"/>
  <c r="Q4" i="1"/>
  <c r="Q28" i="1" s="1"/>
  <c r="P28" i="1"/>
  <c r="O29" i="1" s="1"/>
  <c r="R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polanco</author>
    <author>Sergio M. Polanco Albuerme</author>
  </authors>
  <commentList>
    <comment ref="N15" authorId="0" shapeId="0" xr:uid="{34CDB2CA-11FD-4853-9736-FCED2209A59F}">
      <text>
        <r>
          <rPr>
            <b/>
            <sz val="9"/>
            <color indexed="81"/>
            <rFont val="Tahoma"/>
            <family val="2"/>
          </rPr>
          <t>sergio polanco:</t>
        </r>
        <r>
          <rPr>
            <sz val="9"/>
            <color indexed="81"/>
            <rFont val="Tahoma"/>
            <family val="2"/>
          </rPr>
          <t xml:space="preserve">
Con este pago excede monto del proyecto</t>
        </r>
      </text>
    </comment>
    <comment ref="L16" authorId="1" shapeId="0" xr:uid="{F5DF5F0C-EAA4-4EB0-99FD-A9940A418257}">
      <text>
        <r>
          <rPr>
            <b/>
            <sz val="9"/>
            <color indexed="81"/>
            <rFont val="Tahoma"/>
            <family val="2"/>
          </rPr>
          <t>Sergio M. Polanco Albuerme:</t>
        </r>
        <r>
          <rPr>
            <sz val="9"/>
            <color indexed="81"/>
            <rFont val="Tahoma"/>
            <family val="2"/>
          </rPr>
          <t xml:space="preserve">
se excede el monto del proyecto</t>
        </r>
      </text>
    </comment>
  </commentList>
</comments>
</file>

<file path=xl/sharedStrings.xml><?xml version="1.0" encoding="utf-8"?>
<sst xmlns="http://schemas.openxmlformats.org/spreadsheetml/2006/main" count="81" uniqueCount="48">
  <si>
    <t>EJECUTADO</t>
  </si>
  <si>
    <t>REPROGRAMADO</t>
  </si>
  <si>
    <t>SNIP</t>
  </si>
  <si>
    <t>Proyecto</t>
  </si>
  <si>
    <t>Fuente Financiamiento</t>
  </si>
  <si>
    <t>Monto RD$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</si>
  <si>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</si>
  <si>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</si>
  <si>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</si>
  <si>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</si>
  <si>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</si>
  <si>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</si>
  <si>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</si>
  <si>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</si>
  <si>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</si>
  <si>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</si>
  <si>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</si>
  <si>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</si>
  <si>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</si>
  <si>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</si>
  <si>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*</t>
  </si>
  <si>
    <t>CONTRAPARTIDA</t>
  </si>
  <si>
    <t>HABILITACIÓN DE LAS REDES ELECTRICAS DE LOS SISTEMAS ISABELA, ISA-MANA, PLANTA DE VALDESIA Y ESTACION DE BOMBEO EL CALICHE, DISTRITO NACIONAL Y PROV SANTO DOMINGO</t>
  </si>
  <si>
    <t>FONDO GENERAL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</si>
  <si>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</si>
  <si>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</si>
  <si>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</si>
  <si>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</si>
  <si>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</si>
  <si>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</si>
  <si>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</si>
  <si>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</si>
  <si>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DE NUEVOS POZOS SECTORIALES EN EL GSD</t>
  </si>
  <si>
    <t>MEJORAMIENTO DE LAS REDES DE DISTRIBUCION EN EL GSD</t>
  </si>
  <si>
    <t>CONSTRUCCIÓN PRIMERA ETAPA DEL SUB-SISTEMA DE RECOLECCIÓN Y TRANSMISIÓN DE AGUAS RESIDUALES LA ZURZA, PROVINCIA DE SANTO DOMINGO</t>
  </si>
  <si>
    <t>REHABILITACION 17 CAÑADAS DISTRITO NACIONAL Y PROVINCIA SANTO DOMINGO, REGION OZAMA</t>
  </si>
  <si>
    <t>EQUIPAMIENTO DE LAS AREAS SUSTANTIVAS DE LA CAASD, D. N. Y PROVINCIA STO. DGO.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</si>
  <si>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</si>
  <si>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</si>
  <si>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</si>
  <si>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REHABILITACIÓN DE SISTEMA DE PRODUCCIÓN DE AGUA POTABLE Y ESTACIONES DE BOMBEO DE AGUA RESIDUALES EN LA PROVINCIA SANTO DOMINGO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</si>
  <si>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</si>
  <si>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</si>
  <si>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</si>
  <si>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FORTALECIMIENTO SERVICIO ABASTECIMIENTO DGO. OESTE</t>
  </si>
  <si>
    <t>TOTALES MENSUALES</t>
  </si>
  <si>
    <t>TOTAL TRIMESTRE</t>
  </si>
  <si>
    <r>
      <t xml:space="preserve">Corporacion del Acueducto y Alcantarillado de Santo Domingo
Direccion de </t>
    </r>
    <r>
      <rPr>
        <sz val="20"/>
        <color indexed="8"/>
        <rFont val="Century Schoolbook"/>
        <family val="1"/>
      </rPr>
      <t>Planificación y Desarrollo
Depto. Formulacion, Monitoreo y Evaluacion de PPP</t>
    </r>
    <r>
      <rPr>
        <sz val="20"/>
        <color indexed="8"/>
        <rFont val="Arial"/>
        <family val="2"/>
      </rPr>
      <t xml:space="preserve">
</t>
    </r>
    <r>
      <rPr>
        <b/>
        <sz val="20"/>
        <color indexed="8"/>
        <rFont val="Times New Roman"/>
        <family val="1"/>
      </rPr>
      <t>Cronograma de Inversion Jul-Dic 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</si>
</sst>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indexed="8"/>
      <name val="Arial"/>
      <family val="2"/>
    </font>
    <font>
      <sz val="20"/>
      <color indexed="8"/>
      <name val="Century Schoolbook"/>
      <family val="1"/>
    </font>
    <font>
      <b/>
      <sz val="20"/>
      <color indexed="8"/>
      <name val="Times New Roman"/>
      <family val="1"/>
    </font>
    <font>
      <sz val="28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43" fontId="11" fillId="2" borderId="4" xfId="1" applyFont="1" applyFill="1" applyBorder="1" applyAlignment="1">
      <alignment horizontal="center" vertical="center" wrapText="1" readingOrder="1"/>
    </xf>
    <xf numFmtId="43" fontId="11" fillId="2" borderId="3" xfId="1" applyFont="1" applyFill="1" applyBorder="1" applyAlignment="1">
      <alignment horizontal="center" vertical="center" wrapText="1"/>
    </xf>
    <xf numFmtId="43" fontId="11" fillId="3" borderId="3" xfId="1" applyFont="1" applyFill="1" applyBorder="1" applyAlignment="1">
      <alignment horizontal="center" vertical="center" wrapText="1"/>
    </xf>
    <xf numFmtId="43" fontId="11" fillId="4" borderId="3" xfId="1" applyFont="1" applyFill="1" applyBorder="1" applyAlignment="1">
      <alignment horizontal="center" vertical="center" wrapText="1"/>
    </xf>
    <xf numFmtId="43" fontId="11" fillId="5" borderId="3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 wrapText="1"/>
    </xf>
    <xf numFmtId="43" fontId="0" fillId="6" borderId="8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0" fillId="0" borderId="0" xfId="0" applyNumberForma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6" borderId="12" xfId="1" applyFont="1" applyFill="1" applyBorder="1" applyAlignment="1">
      <alignment horizontal="center" vertical="center" wrapText="1"/>
    </xf>
    <xf numFmtId="43" fontId="0" fillId="0" borderId="6" xfId="1" applyFont="1" applyFill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center" vertical="center" wrapText="1"/>
    </xf>
    <xf numFmtId="43" fontId="0" fillId="0" borderId="8" xfId="1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3" fontId="2" fillId="7" borderId="14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4" borderId="14" xfId="1" applyFont="1" applyFill="1" applyBorder="1" applyAlignment="1">
      <alignment horizontal="center" vertical="center"/>
    </xf>
    <xf numFmtId="43" fontId="4" fillId="5" borderId="14" xfId="1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4" fontId="12" fillId="8" borderId="17" xfId="0" applyNumberFormat="1" applyFont="1" applyFill="1" applyBorder="1" applyAlignment="1">
      <alignment horizontal="center" vertical="center"/>
    </xf>
    <xf numFmtId="4" fontId="12" fillId="8" borderId="15" xfId="0" applyNumberFormat="1" applyFont="1" applyFill="1" applyBorder="1" applyAlignment="1">
      <alignment horizontal="center" vertical="center"/>
    </xf>
    <xf numFmtId="4" fontId="12" fillId="8" borderId="16" xfId="0" applyNumberFormat="1" applyFont="1" applyFill="1" applyBorder="1" applyAlignment="1">
      <alignment horizontal="center" vertical="center"/>
    </xf>
    <xf numFmtId="4" fontId="12" fillId="9" borderId="17" xfId="0" applyNumberFormat="1" applyFont="1" applyFill="1" applyBorder="1" applyAlignment="1">
      <alignment horizontal="center" vertical="center"/>
    </xf>
    <xf numFmtId="4" fontId="12" fillId="9" borderId="15" xfId="0" applyNumberFormat="1" applyFont="1" applyFill="1" applyBorder="1" applyAlignment="1">
      <alignment horizontal="center" vertical="center"/>
    </xf>
    <xf numFmtId="4" fontId="12" fillId="9" borderId="16" xfId="0" applyNumberFormat="1" applyFont="1" applyFill="1" applyBorder="1" applyAlignment="1">
      <alignment horizontal="center" vertical="center"/>
    </xf>
    <xf numFmtId="4" fontId="12" fillId="10" borderId="17" xfId="0" applyNumberFormat="1" applyFont="1" applyFill="1" applyBorder="1" applyAlignment="1">
      <alignment horizontal="center" vertical="center"/>
    </xf>
    <xf numFmtId="4" fontId="12" fillId="10" borderId="15" xfId="0" applyNumberFormat="1" applyFont="1" applyFill="1" applyBorder="1" applyAlignment="1">
      <alignment horizontal="center" vertical="center"/>
    </xf>
    <xf numFmtId="4" fontId="12" fillId="10" borderId="16" xfId="0" applyNumberFormat="1" applyFont="1" applyFill="1" applyBorder="1" applyAlignment="1">
      <alignment horizontal="center" vertical="center"/>
    </xf>
    <xf numFmtId="4" fontId="12" fillId="11" borderId="17" xfId="0" applyNumberFormat="1" applyFont="1" applyFill="1" applyBorder="1" applyAlignment="1">
      <alignment horizontal="center" vertical="center"/>
    </xf>
    <xf numFmtId="4" fontId="12" fillId="11" borderId="15" xfId="0" applyNumberFormat="1" applyFont="1" applyFill="1" applyBorder="1" applyAlignment="1">
      <alignment horizontal="center" vertical="center"/>
    </xf>
    <xf numFmtId="4" fontId="12" fillId="11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0</xdr:row>
      <xdr:rowOff>0</xdr:rowOff>
    </xdr:from>
    <xdr:to>
      <xdr:col>2</xdr:col>
      <xdr:colOff>585107</xdr:colOff>
      <xdr:row>0</xdr:row>
      <xdr:rowOff>1241321</xdr:rowOff>
    </xdr:to>
    <xdr:pic>
      <xdr:nvPicPr>
        <xdr:cNvPr id="2" name="2 Imagen" descr="Resultado de imagen para caasd">
          <a:extLst>
            <a:ext uri="{FF2B5EF4-FFF2-40B4-BE49-F238E27FC236}">
              <a16:creationId xmlns:a16="http://schemas.microsoft.com/office/drawing/2014/main" id="{5C6C57DD-8865-4F43-AAB7-7BCDC96A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0"/>
          <a:ext cx="979715" cy="124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.Polanco/Documents/CAASD%202020/POA%20Inversion/ajuste%20inversion%202do%20y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+Reprog SNIP"/>
      <sheetName val="Ejec+Reprog Fuera de Pres"/>
      <sheetName val="Reprog. obras priorizadas"/>
      <sheetName val="Fuera de priorizacion"/>
      <sheetName val="RESUMEN"/>
      <sheetName val="Reprog. obras priorizadas orig."/>
    </sheetNames>
    <sheetDataSet>
      <sheetData sheetId="0"/>
      <sheetData sheetId="1"/>
      <sheetData sheetId="2"/>
      <sheetData sheetId="3"/>
      <sheetData sheetId="4">
        <row r="3">
          <cell r="B3" t="str">
            <v>Etiquetas de fila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6059-ACBD-4314-A0C9-91BC50A3CC43}">
  <sheetPr>
    <pageSetUpPr fitToPage="1"/>
  </sheetPr>
  <dimension ref="A1:T33"/>
  <sheetViews>
    <sheetView tabSelected="1" view="pageBreakPreview" topLeftCell="B1" zoomScale="90" zoomScaleNormal="80" zoomScaleSheetLayoutView="90" workbookViewId="0">
      <pane xSplit="2" ySplit="3" topLeftCell="D4" activePane="bottomRight" state="frozen"/>
      <selection activeCell="B1" sqref="B1"/>
      <selection pane="topRight" activeCell="E1" sqref="E1"/>
      <selection pane="bottomLeft" activeCell="B3" sqref="B3"/>
      <selection pane="bottomRight" activeCell="C6" sqref="C6"/>
    </sheetView>
  </sheetViews>
  <sheetFormatPr baseColWidth="10" defaultRowHeight="36" x14ac:dyDescent="0.55000000000000004"/>
  <cols>
    <col min="1" max="1" width="5.85546875" hidden="1" customWidth="1"/>
    <col min="2" max="2" width="10" style="52" customWidth="1"/>
    <col min="3" max="3" width="54" style="53" customWidth="1"/>
    <col min="4" max="4" width="18.140625" style="52" customWidth="1"/>
    <col min="5" max="5" width="25.85546875" style="54" bestFit="1" customWidth="1"/>
    <col min="6" max="11" width="16" style="2" hidden="1" customWidth="1"/>
    <col min="12" max="12" width="17.42578125" style="2" customWidth="1"/>
    <col min="13" max="13" width="16" style="2" customWidth="1"/>
    <col min="14" max="14" width="20.42578125" style="2" customWidth="1"/>
    <col min="15" max="15" width="17.5703125" style="2" bestFit="1" customWidth="1"/>
    <col min="16" max="16" width="19.5703125" style="2" customWidth="1"/>
    <col min="17" max="17" width="18.140625" style="2" customWidth="1"/>
    <col min="18" max="18" width="17.85546875" style="2" customWidth="1"/>
    <col min="19" max="19" width="18.5703125" customWidth="1"/>
    <col min="20" max="20" width="11.42578125" style="3" customWidth="1"/>
  </cols>
  <sheetData>
    <row r="1" spans="2:20" ht="107.25" customHeight="1" x14ac:dyDescent="0.55000000000000004">
      <c r="B1" s="1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20" ht="22.5" customHeight="1" thickBot="1" x14ac:dyDescent="0.6">
      <c r="B2" s="4"/>
      <c r="C2" s="4"/>
      <c r="D2" s="4"/>
      <c r="E2" s="4"/>
      <c r="F2" s="5" t="s">
        <v>0</v>
      </c>
      <c r="G2" s="5"/>
      <c r="H2" s="5"/>
      <c r="I2" s="5"/>
      <c r="J2" s="5"/>
      <c r="K2" s="6" t="s">
        <v>1</v>
      </c>
      <c r="L2" s="6"/>
      <c r="M2" s="6"/>
      <c r="N2" s="6"/>
      <c r="O2" s="6"/>
      <c r="P2" s="6"/>
      <c r="Q2" s="6"/>
    </row>
    <row r="3" spans="2:20" x14ac:dyDescent="0.55000000000000004">
      <c r="B3" s="7" t="s">
        <v>2</v>
      </c>
      <c r="C3" s="8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3" t="s">
        <v>15</v>
      </c>
      <c r="P3" s="13" t="s">
        <v>16</v>
      </c>
      <c r="Q3" s="13" t="s">
        <v>17</v>
      </c>
    </row>
    <row r="4" spans="2:20" x14ac:dyDescent="0.55000000000000004">
      <c r="B4" s="14">
        <v>6810</v>
      </c>
      <c r="C4" s="15" t="s">
        <v>18</v>
      </c>
      <c r="D4" s="16" t="s">
        <v>19</v>
      </c>
      <c r="E4" s="17">
        <v>964140000</v>
      </c>
      <c r="F4" s="18"/>
      <c r="G4" s="18"/>
      <c r="H4" s="18"/>
      <c r="I4" s="18"/>
      <c r="J4" s="18"/>
      <c r="K4" s="18"/>
      <c r="L4" s="18"/>
      <c r="M4" s="18"/>
      <c r="N4" s="18"/>
      <c r="O4" s="18">
        <f>+E4/3</f>
        <v>321380000</v>
      </c>
      <c r="P4" s="18">
        <f>+O4</f>
        <v>321380000</v>
      </c>
      <c r="Q4" s="18">
        <f>+P4</f>
        <v>321380000</v>
      </c>
      <c r="R4" s="19">
        <f t="shared" ref="R4:R28" si="0">SUM(F4:Q4)</f>
        <v>964140000</v>
      </c>
      <c r="S4" s="20">
        <f t="shared" ref="S4:S27" si="1">+R4-E4</f>
        <v>0</v>
      </c>
      <c r="T4" s="3" t="s">
        <v>20</v>
      </c>
    </row>
    <row r="5" spans="2:20" x14ac:dyDescent="0.55000000000000004">
      <c r="B5" s="21"/>
      <c r="C5" s="22"/>
      <c r="D5" s="16" t="s">
        <v>21</v>
      </c>
      <c r="E5" s="17">
        <v>102510000</v>
      </c>
      <c r="F5" s="18"/>
      <c r="G5" s="18"/>
      <c r="H5" s="18"/>
      <c r="I5" s="18"/>
      <c r="J5" s="18"/>
      <c r="K5" s="18"/>
      <c r="L5" s="18"/>
      <c r="M5" s="18"/>
      <c r="N5" s="18"/>
      <c r="O5" s="18">
        <f>+E5/3</f>
        <v>34170000</v>
      </c>
      <c r="P5" s="18">
        <f>+O5</f>
        <v>34170000</v>
      </c>
      <c r="Q5" s="18">
        <f>+P5</f>
        <v>34170000</v>
      </c>
      <c r="R5" s="19">
        <f t="shared" si="0"/>
        <v>102510000</v>
      </c>
      <c r="S5" s="20">
        <f t="shared" si="1"/>
        <v>0</v>
      </c>
      <c r="T5" s="3" t="s">
        <v>20</v>
      </c>
    </row>
    <row r="6" spans="2:20" ht="60" x14ac:dyDescent="0.55000000000000004">
      <c r="B6" s="23">
        <v>14078</v>
      </c>
      <c r="C6" s="24" t="s">
        <v>22</v>
      </c>
      <c r="D6" s="25" t="s">
        <v>23</v>
      </c>
      <c r="E6" s="26">
        <v>107009433.64999999</v>
      </c>
      <c r="F6" s="27"/>
      <c r="G6" s="18"/>
      <c r="H6" s="18"/>
      <c r="I6" s="18"/>
      <c r="J6" s="18"/>
      <c r="K6" s="18">
        <f>+GETPIVOTDATA("Suma de JUNIO",[1]RESUMEN!$B$3,"SNIP",14078)</f>
        <v>0</v>
      </c>
      <c r="L6" s="18">
        <f>+GETPIVOTDATA("Suma de JULIO",[1]RESUMEN!$B$3,"SNIP",14078)</f>
        <v>10648077.759999998</v>
      </c>
      <c r="M6" s="18">
        <f>+GETPIVOTDATA("Suma de AGOSTO",[1]RESUMEN!$B$3,"SNIP",14078)</f>
        <v>0</v>
      </c>
      <c r="N6" s="18">
        <f>+GETPIVOTDATA("Suma de SEPTIEMBRE",[1]RESUMEN!$B$3,"SNIP",14078)</f>
        <v>0</v>
      </c>
      <c r="O6" s="18">
        <v>40000000</v>
      </c>
      <c r="P6" s="18">
        <v>26752358.412499998</v>
      </c>
      <c r="Q6" s="18">
        <v>29608997.48</v>
      </c>
      <c r="R6" s="19">
        <f t="shared" si="0"/>
        <v>107009433.6525</v>
      </c>
      <c r="S6" s="20">
        <f t="shared" si="1"/>
        <v>2.5000125169754028E-3</v>
      </c>
      <c r="T6" s="3" t="s">
        <v>20</v>
      </c>
    </row>
    <row r="7" spans="2:20" x14ac:dyDescent="0.55000000000000004">
      <c r="B7" s="23">
        <v>14082</v>
      </c>
      <c r="C7" s="24" t="s">
        <v>24</v>
      </c>
      <c r="D7" s="25" t="s">
        <v>23</v>
      </c>
      <c r="E7" s="26">
        <v>110319119.90000007</v>
      </c>
      <c r="F7" s="27"/>
      <c r="G7" s="18"/>
      <c r="H7" s="18"/>
      <c r="I7" s="18"/>
      <c r="J7" s="18">
        <v>744037</v>
      </c>
      <c r="K7" s="18">
        <f>+GETPIVOTDATA("Suma de JUNIO",[1]RESUMEN!$B$3,"SNIP",14082)</f>
        <v>32784200.549999997</v>
      </c>
      <c r="L7" s="18">
        <f>+GETPIVOTDATA("Suma de JULIO",[1]RESUMEN!$B$3,"SNIP",14082)</f>
        <v>8229564.0599999996</v>
      </c>
      <c r="M7" s="18">
        <f>+GETPIVOTDATA("Suma de AGOSTO",[1]RESUMEN!$B$3,"SNIP",14082)</f>
        <v>0</v>
      </c>
      <c r="N7" s="18">
        <f>+GETPIVOTDATA("Suma de SEPTIEMBRE",[1]RESUMEN!$B$3,"SNIP",14082)</f>
        <v>0</v>
      </c>
      <c r="O7" s="18">
        <v>16547867.985000009</v>
      </c>
      <c r="P7" s="18">
        <v>35465582.32</v>
      </c>
      <c r="Q7" s="18">
        <v>16547867.985000009</v>
      </c>
      <c r="R7" s="19">
        <f t="shared" si="0"/>
        <v>110319119.90000002</v>
      </c>
      <c r="S7" s="20">
        <f t="shared" si="1"/>
        <v>0</v>
      </c>
      <c r="T7" s="3" t="s">
        <v>20</v>
      </c>
    </row>
    <row r="8" spans="2:20" x14ac:dyDescent="0.55000000000000004">
      <c r="B8" s="23">
        <v>14076</v>
      </c>
      <c r="C8" s="24" t="s">
        <v>25</v>
      </c>
      <c r="D8" s="25" t="s">
        <v>23</v>
      </c>
      <c r="E8" s="26">
        <v>8451651.3500000015</v>
      </c>
      <c r="F8" s="27"/>
      <c r="G8" s="18"/>
      <c r="H8" s="18"/>
      <c r="I8" s="18"/>
      <c r="J8" s="18"/>
      <c r="K8" s="18"/>
      <c r="L8" s="18"/>
      <c r="M8" s="18"/>
      <c r="N8" s="18"/>
      <c r="O8" s="18">
        <f>+E8/3</f>
        <v>2817217.1166666672</v>
      </c>
      <c r="P8" s="18">
        <f>+O8</f>
        <v>2817217.1166666672</v>
      </c>
      <c r="Q8" s="18">
        <f>+P8</f>
        <v>2817217.1166666672</v>
      </c>
      <c r="R8" s="19">
        <f t="shared" si="0"/>
        <v>8451651.3500000015</v>
      </c>
      <c r="S8" s="20">
        <f t="shared" si="1"/>
        <v>0</v>
      </c>
      <c r="T8" s="3" t="s">
        <v>20</v>
      </c>
    </row>
    <row r="9" spans="2:20" ht="45" x14ac:dyDescent="0.55000000000000004">
      <c r="B9" s="23">
        <v>14077</v>
      </c>
      <c r="C9" s="24" t="s">
        <v>26</v>
      </c>
      <c r="D9" s="25" t="s">
        <v>23</v>
      </c>
      <c r="E9" s="26">
        <v>185175053.82999998</v>
      </c>
      <c r="F9" s="27"/>
      <c r="G9" s="18">
        <v>18331004</v>
      </c>
      <c r="H9" s="18"/>
      <c r="I9" s="18"/>
      <c r="J9" s="18"/>
      <c r="K9" s="18">
        <f>+GETPIVOTDATA("Suma de JUNIO",[1]RESUMEN!$B$3,"SNIP",14077)</f>
        <v>20000000</v>
      </c>
      <c r="L9" s="18">
        <f>+GETPIVOTDATA("Suma de JULIO",[1]RESUMEN!$B$3,"SNIP",14077)</f>
        <v>6793454.7100000009</v>
      </c>
      <c r="M9" s="18">
        <f>+GETPIVOTDATA("Suma de AGOSTO",[1]RESUMEN!$B$3,"SNIP",14077)</f>
        <v>38157787.885000005</v>
      </c>
      <c r="N9" s="18">
        <f>+GETPIVOTDATA("Suma de SEPTIEMBRE",[1]RESUMEN!$B$3,"SNIP",14077)</f>
        <v>38157787.885000005</v>
      </c>
      <c r="O9" s="18">
        <v>20000000</v>
      </c>
      <c r="P9" s="18">
        <v>9258752.6914999988</v>
      </c>
      <c r="Q9" s="18">
        <v>34476266.659999996</v>
      </c>
      <c r="R9" s="19">
        <f t="shared" si="0"/>
        <v>185175053.83150002</v>
      </c>
      <c r="S9" s="20">
        <f t="shared" si="1"/>
        <v>1.5000402927398682E-3</v>
      </c>
      <c r="T9" s="3" t="s">
        <v>20</v>
      </c>
    </row>
    <row r="10" spans="2:20" ht="45" x14ac:dyDescent="0.55000000000000004">
      <c r="B10" s="23">
        <v>14074</v>
      </c>
      <c r="C10" s="24" t="s">
        <v>27</v>
      </c>
      <c r="D10" s="25" t="s">
        <v>23</v>
      </c>
      <c r="E10" s="26">
        <v>55506721.489505</v>
      </c>
      <c r="F10" s="27"/>
      <c r="G10" s="18"/>
      <c r="H10" s="18"/>
      <c r="I10" s="18"/>
      <c r="J10" s="18">
        <v>3000000</v>
      </c>
      <c r="K10" s="18">
        <f>+GETPIVOTDATA("Suma de JUNIO",[1]RESUMEN!$B$3,"SNIP",14074)</f>
        <v>3500000</v>
      </c>
      <c r="L10" s="18">
        <f>+GETPIVOTDATA("Suma de JULIO",[1]RESUMEN!$B$3,"SNIP",14074)</f>
        <v>4077539.18</v>
      </c>
      <c r="M10" s="18">
        <f>+GETPIVOTDATA("Suma de AGOSTO",[1]RESUMEN!$B$3,"SNIP",14074)</f>
        <v>5000000</v>
      </c>
      <c r="N10" s="18">
        <f>+GETPIVOTDATA("Suma de SEPTIEMBRE",[1]RESUMEN!$B$3,"SNIP",14074)</f>
        <v>5000000</v>
      </c>
      <c r="O10" s="18">
        <v>16652016.446851499</v>
      </c>
      <c r="P10" s="18">
        <v>18277165.859999999</v>
      </c>
      <c r="Q10" s="18"/>
      <c r="R10" s="19">
        <f t="shared" si="0"/>
        <v>55506721.486851498</v>
      </c>
      <c r="S10" s="20">
        <f t="shared" si="1"/>
        <v>-2.6535019278526306E-3</v>
      </c>
      <c r="T10" s="3" t="s">
        <v>20</v>
      </c>
    </row>
    <row r="11" spans="2:20" ht="45" customHeight="1" x14ac:dyDescent="0.55000000000000004">
      <c r="B11" s="23">
        <v>14075</v>
      </c>
      <c r="C11" s="24" t="s">
        <v>28</v>
      </c>
      <c r="D11" s="25" t="s">
        <v>23</v>
      </c>
      <c r="E11" s="26">
        <v>37367463.310000002</v>
      </c>
      <c r="F11" s="27"/>
      <c r="G11" s="18"/>
      <c r="H11" s="18"/>
      <c r="I11" s="18"/>
      <c r="J11" s="18"/>
      <c r="K11" s="18">
        <f>+GETPIVOTDATA("Suma de JUNIO",[1]RESUMEN!$B$3,"SNIP",14075)</f>
        <v>0</v>
      </c>
      <c r="L11" s="18">
        <f>+GETPIVOTDATA("Suma de JULIO",[1]RESUMEN!$B$3,"SNIP",14075)</f>
        <v>0</v>
      </c>
      <c r="M11" s="18">
        <f>+GETPIVOTDATA("Suma de AGOSTO",[1]RESUMEN!$B$3,"SNIP",14075)</f>
        <v>0</v>
      </c>
      <c r="N11" s="18">
        <f>+GETPIVOTDATA("Suma de SEPTIEMBRE",[1]RESUMEN!$B$3,"SNIP",14075)</f>
        <v>0</v>
      </c>
      <c r="O11" s="18">
        <v>12455821.102087751</v>
      </c>
      <c r="P11" s="18"/>
      <c r="Q11" s="18">
        <v>24911642.210000001</v>
      </c>
      <c r="R11" s="19">
        <f t="shared" si="0"/>
        <v>37367463.312087752</v>
      </c>
      <c r="S11" s="20">
        <f t="shared" si="1"/>
        <v>2.0877495408058167E-3</v>
      </c>
      <c r="T11" s="3" t="s">
        <v>20</v>
      </c>
    </row>
    <row r="12" spans="2:20" ht="45" x14ac:dyDescent="0.55000000000000004">
      <c r="B12" s="23">
        <v>14079</v>
      </c>
      <c r="C12" s="24" t="s">
        <v>29</v>
      </c>
      <c r="D12" s="25" t="s">
        <v>23</v>
      </c>
      <c r="E12" s="26">
        <v>32520980.819999993</v>
      </c>
      <c r="F12" s="27"/>
      <c r="G12" s="18"/>
      <c r="H12" s="18"/>
      <c r="I12" s="18"/>
      <c r="J12" s="18"/>
      <c r="K12" s="18">
        <f>+GETPIVOTDATA("Suma de JUNIO",[1]RESUMEN!$B$3,"SNIP",14079)</f>
        <v>0</v>
      </c>
      <c r="L12" s="18">
        <f>+GETPIVOTDATA("Suma de JULIO",[1]RESUMEN!$B$3,"SNIP",14079)</f>
        <v>1730461.68</v>
      </c>
      <c r="M12" s="18">
        <f>+GETPIVOTDATA("Suma de AGOSTO",[1]RESUMEN!$B$3,"SNIP",14079)</f>
        <v>0</v>
      </c>
      <c r="N12" s="18">
        <f>+GETPIVOTDATA("Suma de SEPTIEMBRE",[1]RESUMEN!$B$3,"SNIP",14079)</f>
        <v>0</v>
      </c>
      <c r="O12" s="18">
        <f>30790519.14/3</f>
        <v>10263506.380000001</v>
      </c>
      <c r="P12" s="18">
        <f>+O12</f>
        <v>10263506.380000001</v>
      </c>
      <c r="Q12" s="18">
        <f>+P12</f>
        <v>10263506.380000001</v>
      </c>
      <c r="R12" s="19">
        <f t="shared" si="0"/>
        <v>32520980.82</v>
      </c>
      <c r="S12" s="20">
        <f t="shared" si="1"/>
        <v>0</v>
      </c>
      <c r="T12" s="3" t="s">
        <v>20</v>
      </c>
    </row>
    <row r="13" spans="2:20" ht="45" x14ac:dyDescent="0.55000000000000004">
      <c r="B13" s="23">
        <v>14080</v>
      </c>
      <c r="C13" s="24" t="s">
        <v>30</v>
      </c>
      <c r="D13" s="25" t="s">
        <v>23</v>
      </c>
      <c r="E13" s="26">
        <v>47154866</v>
      </c>
      <c r="F13" s="27"/>
      <c r="G13" s="18"/>
      <c r="H13" s="18"/>
      <c r="I13" s="18"/>
      <c r="J13" s="18"/>
      <c r="K13" s="18">
        <f>+GETPIVOTDATA("Suma de JUNIO",[1]RESUMEN!$B$3,"SNIP",14080)</f>
        <v>2631709.00999999</v>
      </c>
      <c r="L13" s="18">
        <f>+GETPIVOTDATA("Suma de JULIO",[1]RESUMEN!$B$3,"SNIP",14080)</f>
        <v>0</v>
      </c>
      <c r="M13" s="18">
        <f>+GETPIVOTDATA("Suma de AGOSTO",[1]RESUMEN!$B$3,"SNIP",14080)</f>
        <v>0</v>
      </c>
      <c r="N13" s="18">
        <f>+GETPIVOTDATA("Suma de SEPTIEMBRE",[1]RESUMEN!$B$3,"SNIP",14080)</f>
        <v>0</v>
      </c>
      <c r="O13" s="18">
        <v>28018953.890000001</v>
      </c>
      <c r="P13" s="18"/>
      <c r="Q13" s="18">
        <v>16504203.1</v>
      </c>
      <c r="R13" s="19">
        <f t="shared" si="0"/>
        <v>47154865.999999993</v>
      </c>
      <c r="S13" s="20">
        <f t="shared" si="1"/>
        <v>0</v>
      </c>
      <c r="T13" s="3" t="s">
        <v>20</v>
      </c>
    </row>
    <row r="14" spans="2:20" ht="45" x14ac:dyDescent="0.55000000000000004">
      <c r="B14" s="23">
        <v>12494</v>
      </c>
      <c r="C14" s="24" t="s">
        <v>31</v>
      </c>
      <c r="D14" s="25" t="s">
        <v>23</v>
      </c>
      <c r="E14" s="26">
        <v>222522330.84</v>
      </c>
      <c r="F14" s="27"/>
      <c r="G14" s="18"/>
      <c r="H14" s="18"/>
      <c r="I14" s="18"/>
      <c r="J14" s="18"/>
      <c r="K14" s="18">
        <f>+GETPIVOTDATA("Suma de JUNIO",[1]RESUMEN!$B$3,"SNIP",12494)</f>
        <v>10000000</v>
      </c>
      <c r="L14" s="18">
        <f>+GETPIVOTDATA("Suma de JULIO",[1]RESUMEN!$B$3,"SNIP",12494)</f>
        <v>1373133.3500000015</v>
      </c>
      <c r="M14" s="18">
        <f>+GETPIVOTDATA("Suma de AGOSTO",[1]RESUMEN!$B$3,"SNIP",12494)</f>
        <v>12000000</v>
      </c>
      <c r="N14" s="18">
        <f>+GETPIVOTDATA("Suma de SEPTIEMBRE",[1]RESUMEN!$B$3,"SNIP",12494)</f>
        <v>15000000</v>
      </c>
      <c r="O14" s="18">
        <v>106266381.7</v>
      </c>
      <c r="P14" s="18">
        <v>22252233.084000003</v>
      </c>
      <c r="Q14" s="18">
        <v>55630582.710000001</v>
      </c>
      <c r="R14" s="19">
        <f t="shared" si="0"/>
        <v>222522330.84400001</v>
      </c>
      <c r="S14" s="20">
        <f t="shared" si="1"/>
        <v>4.0000081062316895E-3</v>
      </c>
      <c r="T14" s="3" t="s">
        <v>20</v>
      </c>
    </row>
    <row r="15" spans="2:20" x14ac:dyDescent="0.55000000000000004">
      <c r="B15" s="23">
        <v>14060</v>
      </c>
      <c r="C15" s="24" t="s">
        <v>32</v>
      </c>
      <c r="D15" s="25" t="s">
        <v>23</v>
      </c>
      <c r="E15" s="28">
        <v>6340000</v>
      </c>
      <c r="F15" s="29"/>
      <c r="G15" s="30"/>
      <c r="H15" s="30"/>
      <c r="I15" s="30"/>
      <c r="J15" s="30">
        <v>3600000</v>
      </c>
      <c r="K15" s="30">
        <f>+GETPIVOTDATA("Suma de JUNIO",[1]RESUMEN!$B$3,"SNIP",14060)</f>
        <v>1032866.1799999999</v>
      </c>
      <c r="L15" s="30">
        <f>+GETPIVOTDATA("Suma de JULIO",[1]RESUMEN!$B$3,"SNIP",14060)</f>
        <v>14508542.190000001</v>
      </c>
      <c r="M15" s="30">
        <f>+GETPIVOTDATA("Suma de AGOSTO",[1]RESUMEN!$B$3,"SNIP",14060)</f>
        <v>1469107.2700000005</v>
      </c>
      <c r="N15" s="30">
        <f>+GETPIVOTDATA("Suma de SEPTIEMBRE",[1]RESUMEN!$B$3,"SNIP",14060)</f>
        <v>1469107.2700000005</v>
      </c>
      <c r="O15" s="30"/>
      <c r="P15" s="30"/>
      <c r="Q15" s="30"/>
      <c r="R15" s="19">
        <f t="shared" si="0"/>
        <v>22079622.91</v>
      </c>
      <c r="S15" s="20">
        <f t="shared" si="1"/>
        <v>15739622.91</v>
      </c>
      <c r="T15" s="3" t="s">
        <v>20</v>
      </c>
    </row>
    <row r="16" spans="2:20" ht="33" customHeight="1" x14ac:dyDescent="0.55000000000000004">
      <c r="B16" s="23">
        <v>14059</v>
      </c>
      <c r="C16" s="24" t="s">
        <v>33</v>
      </c>
      <c r="D16" s="25" t="s">
        <v>23</v>
      </c>
      <c r="E16" s="28">
        <v>8694000</v>
      </c>
      <c r="F16" s="29"/>
      <c r="G16" s="30"/>
      <c r="H16" s="30">
        <v>897975</v>
      </c>
      <c r="I16" s="30"/>
      <c r="J16" s="30">
        <v>8010807</v>
      </c>
      <c r="K16" s="30">
        <f>+GETPIVOTDATA("Suma de JUNIO",[1]RESUMEN!$B$3,"SNIP",14059)</f>
        <v>4218550.3600000003</v>
      </c>
      <c r="L16" s="30">
        <f>+GETPIVOTDATA("Suma de JULIO",[1]RESUMEN!$B$3,"SNIP",14059)</f>
        <v>10309230.760000002</v>
      </c>
      <c r="M16" s="30">
        <f>+GETPIVOTDATA("Suma de AGOSTO",[1]RESUMEN!$B$3,"SNIP",14059)</f>
        <v>0</v>
      </c>
      <c r="N16" s="30">
        <f>+GETPIVOTDATA("Suma de SEPTIEMBRE",[1]RESUMEN!$B$3,"SNIP",14059)</f>
        <v>0</v>
      </c>
      <c r="O16" s="30"/>
      <c r="P16" s="30"/>
      <c r="Q16" s="30"/>
      <c r="R16" s="19">
        <f t="shared" si="0"/>
        <v>23436563.120000001</v>
      </c>
      <c r="S16" s="20">
        <f t="shared" si="1"/>
        <v>14742563.120000001</v>
      </c>
      <c r="T16" s="3" t="s">
        <v>20</v>
      </c>
    </row>
    <row r="17" spans="2:19" ht="45" x14ac:dyDescent="0.55000000000000004">
      <c r="B17" s="23">
        <v>13923</v>
      </c>
      <c r="C17" s="24" t="s">
        <v>34</v>
      </c>
      <c r="D17" s="25" t="s">
        <v>23</v>
      </c>
      <c r="E17" s="28">
        <v>588858516</v>
      </c>
      <c r="F17" s="29"/>
      <c r="G17" s="30">
        <v>253883315</v>
      </c>
      <c r="H17" s="30">
        <v>114187884</v>
      </c>
      <c r="I17" s="30"/>
      <c r="J17" s="30">
        <v>65271314</v>
      </c>
      <c r="K17" s="30">
        <f>+GETPIVOTDATA("Suma de JUNIO",[1]RESUMEN!$B$3,"SNIP",13923)</f>
        <v>83245946.855999991</v>
      </c>
      <c r="L17" s="30">
        <f>+GETPIVOTDATA("Suma de JULIO",[1]RESUMEN!$B$3,"SNIP",13923)</f>
        <v>5016175.6300000101</v>
      </c>
      <c r="M17" s="30">
        <f>+GETPIVOTDATA("Suma de AGOSTO",[1]RESUMEN!$B$3,"SNIP",13923)</f>
        <v>633551.95000001788</v>
      </c>
      <c r="N17" s="30"/>
      <c r="O17" s="30">
        <v>66620328.560000002</v>
      </c>
      <c r="P17" s="30"/>
      <c r="Q17" s="30"/>
      <c r="R17" s="19">
        <f t="shared" si="0"/>
        <v>588858515.99600005</v>
      </c>
      <c r="S17" s="20">
        <f t="shared" si="1"/>
        <v>-3.9999485015869141E-3</v>
      </c>
    </row>
    <row r="18" spans="2:19" x14ac:dyDescent="0.55000000000000004">
      <c r="B18" s="23">
        <v>14183</v>
      </c>
      <c r="C18" s="24" t="s">
        <v>35</v>
      </c>
      <c r="D18" s="25" t="s">
        <v>23</v>
      </c>
      <c r="E18" s="28">
        <v>1000000000</v>
      </c>
      <c r="F18" s="29"/>
      <c r="G18" s="30">
        <v>123900000</v>
      </c>
      <c r="H18" s="30"/>
      <c r="I18" s="30"/>
      <c r="J18" s="30">
        <v>141745137</v>
      </c>
      <c r="K18" s="30">
        <f>+GETPIVOTDATA("Suma de JUNIO",[1]RESUMEN!$B$3,"SNIP",14183)</f>
        <v>76065475.032000005</v>
      </c>
      <c r="L18" s="30">
        <f>+GETPIVOTDATA("Suma de JULIO",[1]RESUMEN!$B$3,"SNIP",14183)</f>
        <v>131639376.66599998</v>
      </c>
      <c r="M18" s="30">
        <f>+GETPIVOTDATA("Suma de AGOSTO",[1]RESUMEN!$B$3,"SNIP",14183)</f>
        <v>151812870.80000001</v>
      </c>
      <c r="N18" s="30">
        <f>+GETPIVOTDATA("Suma de SEPTIEMBRE",[1]RESUMEN!$B$3,"SNIP",14183)</f>
        <v>169812870.80000001</v>
      </c>
      <c r="O18" s="30">
        <v>200000000</v>
      </c>
      <c r="P18" s="30"/>
      <c r="Q18" s="30">
        <v>5024269.7</v>
      </c>
      <c r="R18" s="19">
        <f t="shared" si="0"/>
        <v>999999999.99799991</v>
      </c>
      <c r="S18" s="20">
        <f t="shared" si="1"/>
        <v>-2.0000934600830078E-3</v>
      </c>
    </row>
    <row r="19" spans="2:19" x14ac:dyDescent="0.55000000000000004">
      <c r="B19" s="23">
        <v>14177</v>
      </c>
      <c r="C19" s="24" t="s">
        <v>36</v>
      </c>
      <c r="D19" s="25" t="s">
        <v>23</v>
      </c>
      <c r="E19" s="28">
        <v>347692513.76999998</v>
      </c>
      <c r="F19" s="29"/>
      <c r="G19" s="30"/>
      <c r="H19" s="30"/>
      <c r="I19" s="30"/>
      <c r="J19" s="30"/>
      <c r="K19" s="30"/>
      <c r="L19" s="30"/>
      <c r="M19" s="30">
        <v>39108380.460999966</v>
      </c>
      <c r="N19" s="30">
        <v>18741932.410999984</v>
      </c>
      <c r="O19" s="30">
        <v>96614066.966666654</v>
      </c>
      <c r="P19" s="30">
        <v>96614066.966666654</v>
      </c>
      <c r="Q19" s="30">
        <v>96614066.966666654</v>
      </c>
      <c r="R19" s="19">
        <f t="shared" si="0"/>
        <v>347692513.7719999</v>
      </c>
      <c r="S19" s="20">
        <f t="shared" si="1"/>
        <v>1.9999146461486816E-3</v>
      </c>
    </row>
    <row r="20" spans="2:19" ht="33" customHeight="1" x14ac:dyDescent="0.55000000000000004">
      <c r="B20" s="23">
        <v>14151</v>
      </c>
      <c r="C20" s="24" t="s">
        <v>37</v>
      </c>
      <c r="D20" s="25" t="s">
        <v>19</v>
      </c>
      <c r="E20" s="28">
        <v>803340000</v>
      </c>
      <c r="F20" s="29"/>
      <c r="G20" s="30"/>
      <c r="H20" s="30"/>
      <c r="I20" s="30"/>
      <c r="J20" s="30"/>
      <c r="K20" s="30"/>
      <c r="L20" s="30"/>
      <c r="M20" s="30"/>
      <c r="N20" s="30"/>
      <c r="O20" s="30">
        <f>+E20/3</f>
        <v>267780000</v>
      </c>
      <c r="P20" s="30">
        <f>+O20</f>
        <v>267780000</v>
      </c>
      <c r="Q20" s="30">
        <f>+P20</f>
        <v>267780000</v>
      </c>
      <c r="R20" s="19">
        <f t="shared" si="0"/>
        <v>803340000</v>
      </c>
      <c r="S20" s="20">
        <f t="shared" si="1"/>
        <v>0</v>
      </c>
    </row>
    <row r="21" spans="2:19" ht="45" x14ac:dyDescent="0.55000000000000004">
      <c r="B21" s="23">
        <v>14412</v>
      </c>
      <c r="C21" s="24" t="s">
        <v>38</v>
      </c>
      <c r="D21" s="25" t="s">
        <v>23</v>
      </c>
      <c r="E21" s="28">
        <v>45122723.009999998</v>
      </c>
      <c r="F21" s="29"/>
      <c r="G21" s="30"/>
      <c r="H21" s="30"/>
      <c r="I21" s="30"/>
      <c r="J21" s="30"/>
      <c r="K21" s="30">
        <f>+GETPIVOTDATA("Suma de JUNIO",[1]RESUMEN!$B$3,"SNIP",14412)</f>
        <v>11254530.710000001</v>
      </c>
      <c r="L21" s="30">
        <f>+GETPIVOTDATA("Suma de JULIO",[1]RESUMEN!$B$3,"SNIP",14412)</f>
        <v>21794576.028000001</v>
      </c>
      <c r="M21" s="30">
        <f>+GETPIVOTDATA("Suma de AGOSTO",[1]RESUMEN!$B$3,"SNIP",14412)</f>
        <v>0</v>
      </c>
      <c r="N21" s="30">
        <f>+GETPIVOTDATA("Suma de SEPTIEMBRE",[1]RESUMEN!$B$3,"SNIP",14412)</f>
        <v>0</v>
      </c>
      <c r="O21" s="30">
        <v>5305207.82</v>
      </c>
      <c r="P21" s="30">
        <v>6768408.4514999995</v>
      </c>
      <c r="Q21" s="30"/>
      <c r="R21" s="19">
        <f t="shared" si="0"/>
        <v>45122723.009499997</v>
      </c>
      <c r="S21" s="20">
        <f t="shared" si="1"/>
        <v>-5.0000101327896118E-4</v>
      </c>
    </row>
    <row r="22" spans="2:19" x14ac:dyDescent="0.55000000000000004">
      <c r="B22" s="23">
        <v>14409</v>
      </c>
      <c r="C22" s="24" t="s">
        <v>39</v>
      </c>
      <c r="D22" s="25" t="s">
        <v>23</v>
      </c>
      <c r="E22" s="28">
        <v>42036390.2852</v>
      </c>
      <c r="F22" s="29"/>
      <c r="G22" s="30"/>
      <c r="H22" s="30"/>
      <c r="I22" s="30"/>
      <c r="J22" s="30"/>
      <c r="K22" s="30">
        <f>+GETPIVOTDATA("Suma de JUNIO",[1]RESUMEN!$B$3,"SNIP",14409)</f>
        <v>0</v>
      </c>
      <c r="L22" s="30">
        <f>+GETPIVOTDATA("Suma de JULIO",[1]RESUMEN!$B$3,"SNIP",14409)</f>
        <v>0</v>
      </c>
      <c r="M22" s="30">
        <f>+GETPIVOTDATA("Suma de AGOSTO",[1]RESUMEN!$B$3,"SNIP",14409)</f>
        <v>0</v>
      </c>
      <c r="N22" s="30">
        <f>+GETPIVOTDATA("Suma de SEPTIEMBRE",[1]RESUMEN!$B$3,"SNIP",14409)</f>
        <v>0</v>
      </c>
      <c r="O22" s="30">
        <f>+E22/3</f>
        <v>14012130.095066667</v>
      </c>
      <c r="P22" s="30">
        <f>+O22</f>
        <v>14012130.095066667</v>
      </c>
      <c r="Q22" s="30">
        <f>+P22</f>
        <v>14012130.095066667</v>
      </c>
      <c r="R22" s="19">
        <f t="shared" si="0"/>
        <v>42036390.2852</v>
      </c>
      <c r="S22" s="20">
        <f t="shared" si="1"/>
        <v>0</v>
      </c>
    </row>
    <row r="23" spans="2:19" ht="45" x14ac:dyDescent="0.55000000000000004">
      <c r="B23" s="23">
        <v>14410</v>
      </c>
      <c r="C23" s="24" t="s">
        <v>40</v>
      </c>
      <c r="D23" s="25" t="s">
        <v>23</v>
      </c>
      <c r="E23" s="28">
        <v>41395686.822795101</v>
      </c>
      <c r="F23" s="29"/>
      <c r="G23" s="30"/>
      <c r="H23" s="30"/>
      <c r="I23" s="30">
        <v>3793974</v>
      </c>
      <c r="J23" s="30"/>
      <c r="K23" s="30">
        <f>+GETPIVOTDATA("Suma de JUNIO",[1]RESUMEN!$B$3,"SNIP",14410)</f>
        <v>0</v>
      </c>
      <c r="L23" s="30">
        <f>+GETPIVOTDATA("Suma de JULIO",[1]RESUMEN!$B$3,"SNIP",14410)</f>
        <v>0</v>
      </c>
      <c r="M23" s="30">
        <f>+GETPIVOTDATA("Suma de AGOSTO",[1]RESUMEN!$B$3,"SNIP",14410)</f>
        <v>0</v>
      </c>
      <c r="N23" s="30">
        <f>+GETPIVOTDATA("Suma de SEPTIEMBRE",[1]RESUMEN!$B$3,"SNIP",14410)</f>
        <v>0</v>
      </c>
      <c r="O23" s="30">
        <f>37601712.82/3</f>
        <v>12533904.273333333</v>
      </c>
      <c r="P23" s="30">
        <f>+O23</f>
        <v>12533904.273333333</v>
      </c>
      <c r="Q23" s="30">
        <f>+P23</f>
        <v>12533904.273333333</v>
      </c>
      <c r="R23" s="19">
        <f t="shared" si="0"/>
        <v>41395686.82</v>
      </c>
      <c r="S23" s="20">
        <f t="shared" si="1"/>
        <v>-2.795100212097168E-3</v>
      </c>
    </row>
    <row r="24" spans="2:19" ht="33" customHeight="1" x14ac:dyDescent="0.55000000000000004">
      <c r="B24" s="23">
        <v>14414</v>
      </c>
      <c r="C24" s="24" t="s">
        <v>41</v>
      </c>
      <c r="D24" s="25" t="s">
        <v>23</v>
      </c>
      <c r="E24" s="28">
        <v>169487894.08000004</v>
      </c>
      <c r="F24" s="29">
        <v>3375693</v>
      </c>
      <c r="G24" s="30"/>
      <c r="H24" s="30"/>
      <c r="I24" s="30"/>
      <c r="J24" s="30"/>
      <c r="K24" s="30">
        <f>+GETPIVOTDATA("Suma de JUNIO",[1]RESUMEN!$B$3,"SNIP",14414)</f>
        <v>1460271.9320000019</v>
      </c>
      <c r="L24" s="30">
        <f>+GETPIVOTDATA("Suma de JULIO",[1]RESUMEN!$B$3,"SNIP",14414)</f>
        <v>17269844.59</v>
      </c>
      <c r="M24" s="30">
        <f>+GETPIVOTDATA("Suma de AGOSTO",[1]RESUMEN!$B$3,"SNIP",14414)</f>
        <v>1818301.6339999996</v>
      </c>
      <c r="N24" s="30">
        <f>+GETPIVOTDATA("Suma de SEPTIEMBRE",[1]RESUMEN!$B$3,"SNIP",14414)</f>
        <v>1818301.6339999996</v>
      </c>
      <c r="O24" s="30">
        <v>3375693</v>
      </c>
      <c r="P24" s="30">
        <v>59320762.928000011</v>
      </c>
      <c r="Q24" s="30">
        <v>81049025.359999999</v>
      </c>
      <c r="R24" s="19">
        <f t="shared" si="0"/>
        <v>169487894.07800001</v>
      </c>
      <c r="S24" s="20">
        <f t="shared" si="1"/>
        <v>-2.0000338554382324E-3</v>
      </c>
    </row>
    <row r="25" spans="2:19" ht="45" x14ac:dyDescent="0.55000000000000004">
      <c r="B25" s="23">
        <v>14413</v>
      </c>
      <c r="C25" s="24" t="s">
        <v>42</v>
      </c>
      <c r="D25" s="25" t="s">
        <v>23</v>
      </c>
      <c r="E25" s="28">
        <v>64993048.609999999</v>
      </c>
      <c r="F25" s="29"/>
      <c r="G25" s="30"/>
      <c r="H25" s="30"/>
      <c r="I25" s="30"/>
      <c r="J25" s="30"/>
      <c r="K25" s="30">
        <f>+GETPIVOTDATA("Suma de JUNIO",[1]RESUMEN!$B$3,"SNIP",14413)</f>
        <v>683554.04</v>
      </c>
      <c r="L25" s="30">
        <f>+GETPIVOTDATA("Suma de JULIO",[1]RESUMEN!$B$3,"SNIP",14413)</f>
        <v>7759958.1100000003</v>
      </c>
      <c r="M25" s="30">
        <f>+GETPIVOTDATA("Suma de AGOSTO",[1]RESUMEN!$B$3,"SNIP",14413)</f>
        <v>0</v>
      </c>
      <c r="N25" s="30">
        <f>+GETPIVOTDATA("Suma de SEPTIEMBRE",[1]RESUMEN!$B$3,"SNIP",14413)</f>
        <v>0</v>
      </c>
      <c r="O25" s="30"/>
      <c r="P25" s="30">
        <v>9748957.2915000003</v>
      </c>
      <c r="Q25" s="30">
        <v>46800579.170000002</v>
      </c>
      <c r="R25" s="19">
        <f t="shared" si="0"/>
        <v>64993048.611500002</v>
      </c>
      <c r="S25" s="20">
        <f t="shared" si="1"/>
        <v>1.5000030398368835E-3</v>
      </c>
    </row>
    <row r="26" spans="2:19" ht="33" customHeight="1" x14ac:dyDescent="0.55000000000000004">
      <c r="B26" s="23">
        <v>14408</v>
      </c>
      <c r="C26" s="24" t="s">
        <v>43</v>
      </c>
      <c r="D26" s="25" t="s">
        <v>23</v>
      </c>
      <c r="E26" s="28">
        <v>122795650.23</v>
      </c>
      <c r="F26" s="29"/>
      <c r="G26" s="30"/>
      <c r="H26" s="30"/>
      <c r="I26" s="30"/>
      <c r="J26" s="30"/>
      <c r="K26" s="30">
        <f>+GETPIVOTDATA("Suma de JUNIO",[1]RESUMEN!$B$3,"SNIP",14408)</f>
        <v>0</v>
      </c>
      <c r="L26" s="30">
        <f>+GETPIVOTDATA("Suma de JULIO",[1]RESUMEN!$B$3,"SNIP",14408)</f>
        <v>0</v>
      </c>
      <c r="M26" s="30">
        <f>+GETPIVOTDATA("Suma de AGOSTO",[1]RESUMEN!$B$3,"SNIP",14408)</f>
        <v>0</v>
      </c>
      <c r="N26" s="30">
        <f>+GETPIVOTDATA("Suma de SEPTIEMBRE",[1]RESUMEN!$B$3,"SNIP",14408)</f>
        <v>0</v>
      </c>
      <c r="O26" s="30"/>
      <c r="P26" s="30">
        <v>122795650.23</v>
      </c>
      <c r="Q26" s="30"/>
      <c r="R26" s="19">
        <f t="shared" si="0"/>
        <v>122795650.23</v>
      </c>
      <c r="S26" s="20">
        <f t="shared" si="1"/>
        <v>0</v>
      </c>
    </row>
    <row r="27" spans="2:19" ht="33" customHeight="1" x14ac:dyDescent="0.55000000000000004">
      <c r="B27" s="23">
        <v>14411</v>
      </c>
      <c r="C27" s="24" t="s">
        <v>44</v>
      </c>
      <c r="D27" s="25" t="s">
        <v>23</v>
      </c>
      <c r="E27" s="28">
        <v>34045956.000000007</v>
      </c>
      <c r="F27" s="29"/>
      <c r="G27" s="30"/>
      <c r="H27" s="30"/>
      <c r="I27" s="30"/>
      <c r="J27" s="30"/>
      <c r="K27" s="30">
        <f>+GETPIVOTDATA("Suma de JUNIO",[1]RESUMEN!$B$3,"SNIP",14411)</f>
        <v>0</v>
      </c>
      <c r="L27" s="30">
        <f>+GETPIVOTDATA("Suma de JULIO",[1]RESUMEN!$B$3,"SNIP",14411)</f>
        <v>6950918.7799999993</v>
      </c>
      <c r="M27" s="30">
        <f>+GETPIVOTDATA("Suma de AGOSTO",[1]RESUMEN!$B$3,"SNIP",14411)</f>
        <v>0</v>
      </c>
      <c r="N27" s="30">
        <f>+GETPIVOTDATA("Suma de SEPTIEMBRE",[1]RESUMEN!$B$3,"SNIP",14411)</f>
        <v>0</v>
      </c>
      <c r="O27" s="30"/>
      <c r="P27" s="30">
        <f>27095037.22/2</f>
        <v>13547518.609999999</v>
      </c>
      <c r="Q27" s="30">
        <f>+P27</f>
        <v>13547518.609999999</v>
      </c>
      <c r="R27" s="19">
        <f t="shared" si="0"/>
        <v>34045956</v>
      </c>
      <c r="S27" s="20">
        <f t="shared" si="1"/>
        <v>0</v>
      </c>
    </row>
    <row r="28" spans="2:19" ht="30" customHeight="1" thickBot="1" x14ac:dyDescent="0.6">
      <c r="B28" s="31" t="s">
        <v>45</v>
      </c>
      <c r="C28" s="32"/>
      <c r="D28" s="32"/>
      <c r="E28" s="33">
        <f t="shared" ref="E28:Q28" si="2">SUM(E4:E27)</f>
        <v>5147479999.9974995</v>
      </c>
      <c r="F28" s="34">
        <f t="shared" si="2"/>
        <v>3375693</v>
      </c>
      <c r="G28" s="34">
        <f t="shared" si="2"/>
        <v>396114319</v>
      </c>
      <c r="H28" s="34">
        <f t="shared" si="2"/>
        <v>115085859</v>
      </c>
      <c r="I28" s="34">
        <f t="shared" si="2"/>
        <v>3793974</v>
      </c>
      <c r="J28" s="34">
        <f t="shared" si="2"/>
        <v>222371295</v>
      </c>
      <c r="K28" s="35">
        <f>SUM(K4:K27)</f>
        <v>246877104.66999999</v>
      </c>
      <c r="L28" s="35">
        <f t="shared" si="2"/>
        <v>248100853.49400002</v>
      </c>
      <c r="M28" s="35">
        <f t="shared" si="2"/>
        <v>250000000</v>
      </c>
      <c r="N28" s="35">
        <f t="shared" si="2"/>
        <v>250000000</v>
      </c>
      <c r="O28" s="36">
        <f t="shared" si="2"/>
        <v>1274813095.3356726</v>
      </c>
      <c r="P28" s="36">
        <f t="shared" si="2"/>
        <v>1083758214.7107334</v>
      </c>
      <c r="Q28" s="36">
        <f t="shared" si="2"/>
        <v>1083671777.8167334</v>
      </c>
      <c r="R28" s="37">
        <f t="shared" si="0"/>
        <v>5177962186.0271397</v>
      </c>
    </row>
    <row r="29" spans="2:19" ht="19.5" customHeight="1" thickBot="1" x14ac:dyDescent="0.6">
      <c r="B29" s="38" t="s">
        <v>46</v>
      </c>
      <c r="C29" s="38"/>
      <c r="D29" s="38"/>
      <c r="E29" s="39"/>
      <c r="F29" s="40">
        <f>+F28+G28+H28</f>
        <v>514575871</v>
      </c>
      <c r="G29" s="41"/>
      <c r="H29" s="42"/>
      <c r="I29" s="43">
        <f>+I28+J28+K28</f>
        <v>473042373.66999996</v>
      </c>
      <c r="J29" s="44"/>
      <c r="K29" s="45"/>
      <c r="L29" s="46">
        <f>+L28+M28+N28</f>
        <v>748100853.49399996</v>
      </c>
      <c r="M29" s="47"/>
      <c r="N29" s="48"/>
      <c r="O29" s="49">
        <f>+O28+P28+Q28</f>
        <v>3442243087.8631392</v>
      </c>
      <c r="P29" s="50"/>
      <c r="Q29" s="51"/>
    </row>
    <row r="30" spans="2:19" ht="33.75" customHeight="1" x14ac:dyDescent="0.55000000000000004">
      <c r="F30" s="55"/>
      <c r="G30" s="55"/>
      <c r="H30" s="55"/>
      <c r="I30" s="55"/>
      <c r="J30" s="55"/>
      <c r="K30" s="55"/>
    </row>
    <row r="33" spans="2:20" ht="15" x14ac:dyDescent="0.25">
      <c r="B33"/>
      <c r="C33"/>
      <c r="D33"/>
      <c r="E33"/>
      <c r="F33" s="19"/>
      <c r="G33"/>
      <c r="H33"/>
      <c r="I33"/>
      <c r="J33"/>
      <c r="K33"/>
      <c r="L33"/>
      <c r="M33"/>
      <c r="N33"/>
      <c r="O33"/>
      <c r="P33"/>
      <c r="Q33"/>
      <c r="R33"/>
      <c r="T33"/>
    </row>
  </sheetData>
  <mergeCells count="11">
    <mergeCell ref="B29:E29"/>
    <mergeCell ref="F29:H29"/>
    <mergeCell ref="I29:K29"/>
    <mergeCell ref="L29:N29"/>
    <mergeCell ref="O29:Q29"/>
    <mergeCell ref="B1:Q1"/>
    <mergeCell ref="F2:J2"/>
    <mergeCell ref="K2:Q2"/>
    <mergeCell ref="B4:B5"/>
    <mergeCell ref="C4:C5"/>
    <mergeCell ref="B28:D28"/>
  </mergeCells>
  <pageMargins left="0.23622047244094491" right="0.23622047244094491" top="0.19685039370078741" bottom="0.15748031496062992" header="0.31496062992125984" footer="0.31496062992125984"/>
  <pageSetup paperSize="14" scale="6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Ejec+Reprog SNIP</vt:lpstr>
      <vt:lpstr>'Ejec+Reprog SNIP'!Área_de_impresión</vt:lpstr>
      <vt:lpstr>'Ejec+Reprog SNIP'!Títulos_a_imprimir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Albuerme</cp:lastModifiedBy>
  <dcterms:created xsi:type="dcterms:W3CDTF">2020-07-10T14:26:55Z</dcterms:created>
  <dcterms:modified xsi:type="dcterms:W3CDTF">2020-07-10T14:27:59Z</dcterms:modified>
</cp:coreProperties>
</file>