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.Polanco\Documents\CAASD 2021\Inversion Mensual\Reportes trimestrales\4to trimestre\"/>
    </mc:Choice>
  </mc:AlternateContent>
  <xr:revisionPtr revIDLastSave="0" documentId="8_{50BC7D0B-B981-4197-9C27-B84C33320FAE}" xr6:coauthVersionLast="47" xr6:coauthVersionMax="47" xr10:uidLastSave="{00000000-0000-0000-0000-000000000000}"/>
  <bookViews>
    <workbookView xWindow="-120" yWindow="-120" windowWidth="20730" windowHeight="11160" xr2:uid="{7E54E777-633B-4659-AC10-DCA25959C0EE}"/>
  </bookViews>
  <sheets>
    <sheet name="Ejec+Reprog SNIP" sheetId="1" r:id="rId1"/>
  </sheets>
  <definedNames>
    <definedName name="_xlnm.Print_Area" localSheetId="0">'Ejec+Reprog SNIP'!$A$1:$Q$32</definedName>
    <definedName name="_xlnm.Print_Titles" localSheetId="0">'Ejec+Reprog SNIP'!$1:$3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T29" i="1"/>
  <c r="O29" i="1"/>
  <c r="K29" i="1"/>
  <c r="I29" i="1"/>
  <c r="G29" i="1"/>
  <c r="R29" i="1" s="1"/>
  <c r="S29" i="1" s="1"/>
  <c r="R28" i="1"/>
  <c r="S28" i="1" s="1"/>
  <c r="P28" i="1"/>
  <c r="M28" i="1"/>
  <c r="I28" i="1"/>
  <c r="G28" i="1"/>
  <c r="O27" i="1"/>
  <c r="M27" i="1"/>
  <c r="J27" i="1"/>
  <c r="H27" i="1"/>
  <c r="R27" i="1" s="1"/>
  <c r="S27" i="1" s="1"/>
  <c r="Q26" i="1"/>
  <c r="L26" i="1"/>
  <c r="I26" i="1"/>
  <c r="G26" i="1"/>
  <c r="R26" i="1" s="1"/>
  <c r="S26" i="1" s="1"/>
  <c r="L25" i="1"/>
  <c r="H25" i="1"/>
  <c r="R25" i="1" s="1"/>
  <c r="S25" i="1" s="1"/>
  <c r="Q24" i="1"/>
  <c r="K24" i="1"/>
  <c r="H24" i="1"/>
  <c r="G24" i="1"/>
  <c r="R24" i="1" s="1"/>
  <c r="S24" i="1" s="1"/>
  <c r="L23" i="1"/>
  <c r="J23" i="1"/>
  <c r="H23" i="1"/>
  <c r="F23" i="1"/>
  <c r="R23" i="1" s="1"/>
  <c r="S23" i="1" s="1"/>
  <c r="O22" i="1"/>
  <c r="L22" i="1"/>
  <c r="I22" i="1"/>
  <c r="T22" i="1" s="1"/>
  <c r="G22" i="1"/>
  <c r="R22" i="1" s="1"/>
  <c r="S22" i="1" s="1"/>
  <c r="T21" i="1"/>
  <c r="Q21" i="1"/>
  <c r="M21" i="1"/>
  <c r="J21" i="1"/>
  <c r="H21" i="1"/>
  <c r="R21" i="1" s="1"/>
  <c r="S21" i="1" s="1"/>
  <c r="N20" i="1"/>
  <c r="J20" i="1"/>
  <c r="T20" i="1" s="1"/>
  <c r="G20" i="1"/>
  <c r="R20" i="1" s="1"/>
  <c r="S20" i="1" s="1"/>
  <c r="N19" i="1"/>
  <c r="L19" i="1"/>
  <c r="J19" i="1"/>
  <c r="T19" i="1" s="1"/>
  <c r="H19" i="1"/>
  <c r="P19" i="1" s="1"/>
  <c r="F19" i="1"/>
  <c r="T18" i="1"/>
  <c r="O18" i="1"/>
  <c r="M18" i="1"/>
  <c r="J18" i="1"/>
  <c r="G18" i="1"/>
  <c r="R18" i="1" s="1"/>
  <c r="S18" i="1" s="1"/>
  <c r="P17" i="1"/>
  <c r="N17" i="1"/>
  <c r="K17" i="1"/>
  <c r="T17" i="1" s="1"/>
  <c r="H17" i="1"/>
  <c r="R17" i="1" s="1"/>
  <c r="S17" i="1" s="1"/>
  <c r="T16" i="1"/>
  <c r="R16" i="1"/>
  <c r="S16" i="1" s="1"/>
  <c r="T15" i="1"/>
  <c r="N15" i="1"/>
  <c r="H15" i="1"/>
  <c r="R15" i="1" s="1"/>
  <c r="S15" i="1" s="1"/>
  <c r="T14" i="1"/>
  <c r="P14" i="1"/>
  <c r="O14" i="1"/>
  <c r="N14" i="1"/>
  <c r="M14" i="1"/>
  <c r="L14" i="1"/>
  <c r="L30" i="1" s="1"/>
  <c r="K14" i="1"/>
  <c r="J14" i="1"/>
  <c r="I14" i="1"/>
  <c r="H14" i="1"/>
  <c r="G14" i="1"/>
  <c r="F14" i="1"/>
  <c r="T13" i="1"/>
  <c r="S13" i="1"/>
  <c r="R13" i="1"/>
  <c r="T12" i="1"/>
  <c r="R12" i="1"/>
  <c r="S12" i="1" s="1"/>
  <c r="I11" i="1"/>
  <c r="T11" i="1" s="1"/>
  <c r="H11" i="1"/>
  <c r="G11" i="1"/>
  <c r="F11" i="1"/>
  <c r="J11" i="1" s="1"/>
  <c r="G10" i="1"/>
  <c r="G30" i="1" s="1"/>
  <c r="O9" i="1"/>
  <c r="O30" i="1" s="1"/>
  <c r="N9" i="1"/>
  <c r="L9" i="1"/>
  <c r="K9" i="1"/>
  <c r="I9" i="1"/>
  <c r="I30" i="1" s="1"/>
  <c r="H9" i="1"/>
  <c r="P9" i="1" s="1"/>
  <c r="P30" i="1" s="1"/>
  <c r="F9" i="1"/>
  <c r="T8" i="1"/>
  <c r="R8" i="1"/>
  <c r="S8" i="1" s="1"/>
  <c r="K7" i="1"/>
  <c r="K30" i="1" s="1"/>
  <c r="H7" i="1"/>
  <c r="T6" i="1"/>
  <c r="R6" i="1"/>
  <c r="S6" i="1" s="1"/>
  <c r="T5" i="1"/>
  <c r="S5" i="1"/>
  <c r="R5" i="1"/>
  <c r="T4" i="1"/>
  <c r="R4" i="1"/>
  <c r="S4" i="1" s="1"/>
  <c r="R19" i="1" l="1"/>
  <c r="S19" i="1" s="1"/>
  <c r="R9" i="1"/>
  <c r="S9" i="1" s="1"/>
  <c r="H30" i="1"/>
  <c r="T9" i="1"/>
  <c r="R11" i="1"/>
  <c r="S11" i="1" s="1"/>
  <c r="Q14" i="1"/>
  <c r="R14" i="1" s="1"/>
  <c r="S14" i="1" s="1"/>
  <c r="F30" i="1"/>
  <c r="N7" i="1"/>
  <c r="T7" i="1"/>
  <c r="J10" i="1"/>
  <c r="Q7" i="1" l="1"/>
  <c r="Q30" i="1" s="1"/>
  <c r="O31" i="1" s="1"/>
  <c r="N30" i="1"/>
  <c r="R7" i="1"/>
  <c r="S7" i="1" s="1"/>
  <c r="F31" i="1"/>
  <c r="T10" i="1"/>
  <c r="J30" i="1"/>
  <c r="M10" i="1"/>
  <c r="M30" i="1" s="1"/>
  <c r="T30" i="1" l="1"/>
  <c r="I31" i="1"/>
  <c r="L31" i="1"/>
  <c r="R30" i="1"/>
  <c r="R10" i="1"/>
  <c r="S10" i="1" s="1"/>
</calcChain>
</file>

<file path=xl/sharedStrings.xml><?xml version="1.0" encoding="utf-8"?>
<sst xmlns="http://schemas.openxmlformats.org/spreadsheetml/2006/main" count="69" uniqueCount="46">
  <si>
    <t>SNIP</t>
  </si>
  <si>
    <t>Proyecto</t>
  </si>
  <si>
    <t>Fuente Financiamiento</t>
  </si>
  <si>
    <t>Monto RD$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</si>
  <si>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</si>
  <si>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</si>
  <si>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</si>
  <si>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</si>
  <si>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</si>
  <si>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</si>
  <si>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</si>
  <si>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</si>
  <si>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</si>
  <si>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</si>
  <si>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</si>
  <si>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</si>
  <si>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AMPLIACIÓN ACUEDUCTO ORIENTAL, BARRERA DE SALINIDAD Y TRASVASE AL MUNICIPIO SANTO DOMINGO NORTE, PROVINCIA SANTO DOMINGO</t>
  </si>
  <si>
    <t>CREDITO EXTERNO</t>
  </si>
  <si>
    <t>CONTRAPARTIDA</t>
  </si>
  <si>
    <t>FONDO GENERAL</t>
  </si>
  <si>
    <t>HABILITACIÓN DE LAS REDES ELECTRICAS DE LOS SISTEMAS ISABELA, ISA-MANA, PLANTA DE VALDESIA Y ESTACION DE BOMBEO EL CALICHE, DISTRITO NACIONAL Y PROV SANTO DOMINGO</t>
  </si>
  <si>
    <t>MEJORAMIENTO DEL ABASTECIMIENTO DE AGUA POTABLE EN LA PROVINCIA SANTO DOMINGO</t>
  </si>
  <si>
    <t>REHABILITACIÓN SISTEMA HAINA MANOGUAYABO, MUNICIPIO SANTO DOMINGO OESTE, PROVINCIA SANTO DOMINGO</t>
  </si>
  <si>
    <t>RECONSTRUCCIÓN  DEL  SISTEMA DE AGUA POTABLE LA ISABELA, MUNICIPIO SANTO DOMINGO OESTE, PROVINCIA SANTO DOMINGO</t>
  </si>
  <si>
    <t>HABILITACIÓN DEL SISTEMA DE PRODUCCION DE AGUA POTABLE, SECTOR LECHERIA, MANOGUAYABO, MUNICIPIO SANTO DOMINGO OESTE</t>
  </si>
  <si>
    <t>REHABILITACIÓN DE LA PLANTA DE TRATAMIENTO DE AGUAS RESIDUALES DEL MUNICIPIO DE LOS ALCARRIZOS, PROVINCIA SANTO DOMINGO.</t>
  </si>
  <si>
    <t>CONSTRUCCION DE NUEVOS POZOS SECTORIALES EN EL GSD</t>
  </si>
  <si>
    <t>REHABILITACION 17 CAÑADAS DISTRITO NACIONAL Y PROVINCIA SANTO DOMINGO, REGION OZAMA</t>
  </si>
  <si>
    <t>EQUIPAMIENTO DE LAS AREAS SUSTANTIVAS DE LA CAASD, D. N. Y PROVINCIA STO. DGO.</t>
  </si>
  <si>
    <t>CONSTRUCCION SISTEMA DE SANEAMIENTO SANITARIO Y PLUVIAL CAÑADA GUAJIMIA FASE II, STO. DGO. OESTE</t>
  </si>
  <si>
    <t>AMPLIACIÓN SERVICIOS DE AGUA POTABLE EN EL MUNICIPIO SANTO DOMINGO ESTE, PROVINCIA SANTO DOMINGO</t>
  </si>
  <si>
    <t>AMPLIACION COBERTURA DEL ALCANTARILLADO EN LOS MUNICIPIOS STO DGO ESTE Y NORTE</t>
  </si>
  <si>
    <t>REHABILITACIÓN DE SISTEMA DE PRODUCCIÓN DE AGUA POTABLE Y ESTACIONES DE BOMBEO DE AGUA RESIDUALES EN LA PROVINCIA SANTO DOMINGO</t>
  </si>
  <si>
    <t>MEJORAMIENTO REDES AGUA POTABLE EN EL DISTRITO NACIONAL, REGION OZAMA</t>
  </si>
  <si>
    <t>REHABILITACION ACUEDUCTO MULTIPLE SAN FELIPE MAL NOMBRE, VILLA MELLA, PROVINCIA SANTO DOMINGO, MUNICIPIO SANTO DOMINGO NORTE</t>
  </si>
  <si>
    <t xml:space="preserve">AMPLIACION COBERTURA DEL ALCANTARILLADO EN EL DN. </t>
  </si>
  <si>
    <t>AMPLIACION DE LA RED DE ABASTECIMIENTO DE AGUA POTABLE PARA LOS ALCARRIZOS Y PANTOJA, PROVINCIA SANTO DOMINGO</t>
  </si>
  <si>
    <t>AMPLIACION DE LA MICRORED DE ABASTECIMIENTO DE AGUA POTABLE PARA EL BARRIO LA UREÑA, MUNICIPIO SANTO DOMINGO ESTE.</t>
  </si>
  <si>
    <t>AMPLIACION DE LA MICRORED DE ABASTECIMIENTO DE AGUA POTABLE PARA EL SECTOR CANCINO ADENTRO, MUNICIPIO SANTO DOMINGO ESTE.</t>
  </si>
  <si>
    <t>AMPLIACION DE LA RED DE ABASTECIMIENTO DE AGUA POTABLE PARA EL MUNICIPIO SANTO DOMINGO NORTE.</t>
  </si>
  <si>
    <t>FORTALECIMIENTO DE LA MICRORED DE ABASTECIMIENTO DE AGUA POTABLE PARA EL MUNICIPIO DE SANTO DOMINGO ESTE.</t>
  </si>
  <si>
    <t>MEJORAMIENTO DE LA RED DE DISTRIBUCION DE AGUA POTABLE PARA LOS BARRIOS BRISAS DEL ESTE, VILLA ELOISA, LOTIFICACION DEL ESTE, LAS FLORES, MUNICIPIO SANTO DOMINGO ESTE.</t>
  </si>
  <si>
    <t>FORTALECIMIENTO SERVICIO ABASTECIMIENTO DGO. OESTE</t>
  </si>
  <si>
    <t>TOTALES MENSUALES</t>
  </si>
  <si>
    <t>TOTAL TRIMESTRE</t>
  </si>
  <si>
    <r>
      <t xml:space="preserve">Corporacion del Acueducto y Alcantarillado de Santo Domingo
Direccion de </t>
    </r>
    <r>
      <rPr>
        <sz val="18"/>
        <color indexed="8"/>
        <rFont val="Century Schoolbook"/>
        <family val="1"/>
      </rPr>
      <t>Planificación y Desarrollo
Depto. Formulacion, Monitoreo y Evaluacion de PPP</t>
    </r>
    <r>
      <rPr>
        <sz val="18"/>
        <color indexed="8"/>
        <rFont val="Arial"/>
        <family val="2"/>
      </rPr>
      <t xml:space="preserve">
</t>
    </r>
    <r>
      <rPr>
        <b/>
        <sz val="18"/>
        <color indexed="8"/>
        <rFont val="Times New Roman"/>
        <family val="1"/>
      </rPr>
      <t>Cronograma de inversion Enero-Diciembre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</si>
</sst>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indexed="8"/>
      <name val="Arial"/>
      <family val="2"/>
    </font>
    <font>
      <sz val="18"/>
      <color indexed="8"/>
      <name val="Century Schoolbook"/>
      <family val="1"/>
    </font>
    <font>
      <b/>
      <sz val="18"/>
      <color indexed="8"/>
      <name val="Times New Roman"/>
      <family val="1"/>
    </font>
    <font>
      <sz val="20"/>
      <color indexed="8"/>
      <name val="Arial"/>
      <family val="2"/>
    </font>
    <font>
      <b/>
      <sz val="14"/>
      <color rgb="FFFF0000"/>
      <name val="Arial"/>
      <family val="2"/>
    </font>
    <font>
      <b/>
      <sz val="14"/>
      <color rgb="FF00206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Alignment="1">
      <alignment vertical="center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9" fillId="0" borderId="1" xfId="0" applyFont="1" applyBorder="1" applyAlignment="1" applyProtection="1">
      <alignment horizontal="center" vertical="top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11" fillId="2" borderId="2" xfId="0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43" fontId="11" fillId="2" borderId="4" xfId="1" applyFont="1" applyFill="1" applyBorder="1" applyAlignment="1">
      <alignment horizontal="center" vertical="center" wrapText="1" readingOrder="1"/>
    </xf>
    <xf numFmtId="43" fontId="11" fillId="2" borderId="3" xfId="1" applyFont="1" applyFill="1" applyBorder="1" applyAlignment="1">
      <alignment horizontal="center" vertical="center" wrapText="1"/>
    </xf>
    <xf numFmtId="43" fontId="11" fillId="3" borderId="3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3" fontId="0" fillId="0" borderId="8" xfId="1" applyFont="1" applyBorder="1" applyAlignment="1">
      <alignment horizontal="center" vertical="center" wrapText="1"/>
    </xf>
    <xf numFmtId="43" fontId="0" fillId="0" borderId="8" xfId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0" fillId="0" borderId="0" xfId="0" applyNumberFormat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43" fontId="0" fillId="0" borderId="6" xfId="1" applyFont="1" applyBorder="1" applyAlignment="1">
      <alignment horizontal="center" vertical="center" wrapText="1"/>
    </xf>
    <xf numFmtId="43" fontId="0" fillId="0" borderId="12" xfId="1" applyFont="1" applyFill="1" applyBorder="1" applyAlignment="1">
      <alignment horizontal="center" vertical="center" wrapText="1"/>
    </xf>
    <xf numFmtId="43" fontId="0" fillId="0" borderId="6" xfId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4" borderId="14" xfId="1" applyFont="1" applyFill="1" applyBorder="1" applyAlignment="1">
      <alignment horizontal="center" vertical="center"/>
    </xf>
    <xf numFmtId="43" fontId="4" fillId="5" borderId="14" xfId="1" applyFont="1" applyFill="1" applyBorder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4" fontId="12" fillId="3" borderId="17" xfId="0" applyNumberFormat="1" applyFont="1" applyFill="1" applyBorder="1" applyAlignment="1">
      <alignment horizontal="center" vertical="center"/>
    </xf>
    <xf numFmtId="4" fontId="12" fillId="3" borderId="15" xfId="0" applyNumberFormat="1" applyFont="1" applyFill="1" applyBorder="1" applyAlignment="1">
      <alignment horizontal="center" vertical="center"/>
    </xf>
    <xf numFmtId="4" fontId="12" fillId="3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74084</xdr:colOff>
      <xdr:row>0</xdr:row>
      <xdr:rowOff>105835</xdr:rowOff>
    </xdr:from>
    <xdr:to>
      <xdr:col>2</xdr:col>
      <xdr:colOff>2963333</xdr:colOff>
      <xdr:row>1</xdr:row>
      <xdr:rowOff>164672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E29E78-8C59-4792-BDC8-871D61E9FD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1094"/>
        <a:stretch/>
      </xdr:blipFill>
      <xdr:spPr>
        <a:xfrm>
          <a:off x="74084" y="105835"/>
          <a:ext cx="3555999" cy="1201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12FF-3742-4684-8765-866FD885E682}">
  <sheetPr>
    <pageSetUpPr fitToPage="1"/>
  </sheetPr>
  <dimension ref="A1:T35"/>
  <sheetViews>
    <sheetView tabSelected="1" view="pageBreakPreview" topLeftCell="B1" zoomScale="90" zoomScaleNormal="80" zoomScaleSheetLayoutView="90" workbookViewId="0">
      <pane xSplit="2" ySplit="3" topLeftCell="D4" activePane="bottomRight" state="frozen"/>
      <selection activeCell="B1" sqref="B1"/>
      <selection pane="topRight" activeCell="E1" sqref="E1"/>
      <selection pane="bottomLeft" activeCell="B3" sqref="B3"/>
      <selection pane="bottomRight" activeCell="E7" sqref="E7"/>
    </sheetView>
  </sheetViews>
  <sheetFormatPr baseColWidth="10" defaultRowHeight="15" x14ac:dyDescent="0.25"/>
  <cols>
    <col min="1" max="1" width="5.85546875" hidden="1" customWidth="1"/>
    <col min="2" max="2" width="10" style="36" customWidth="1"/>
    <col min="3" max="3" width="54" style="37" customWidth="1"/>
    <col min="4" max="4" width="18.140625" style="36" customWidth="1"/>
    <col min="5" max="5" width="25.85546875" style="38" bestFit="1" customWidth="1"/>
    <col min="6" max="8" width="16" style="2" bestFit="1" customWidth="1"/>
    <col min="9" max="11" width="16" style="2" customWidth="1"/>
    <col min="12" max="12" width="17.42578125" style="2" customWidth="1"/>
    <col min="13" max="13" width="16" style="2" customWidth="1"/>
    <col min="14" max="14" width="20.42578125" style="2" customWidth="1"/>
    <col min="15" max="15" width="17.5703125" style="2" bestFit="1" customWidth="1"/>
    <col min="16" max="16" width="19.5703125" style="2" customWidth="1"/>
    <col min="17" max="17" width="18.140625" style="2" customWidth="1"/>
    <col min="18" max="18" width="17.85546875" style="2" customWidth="1"/>
    <col min="19" max="19" width="18.5703125" customWidth="1"/>
    <col min="20" max="20" width="17.5703125" bestFit="1" customWidth="1"/>
  </cols>
  <sheetData>
    <row r="1" spans="2:20" ht="90" customHeight="1" x14ac:dyDescent="0.25">
      <c r="B1" s="1" t="s">
        <v>45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20" ht="22.5" customHeight="1" thickBot="1" x14ac:dyDescent="0.3"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</row>
    <row r="3" spans="2:20" ht="31.5" x14ac:dyDescent="0.25">
      <c r="B3" s="6" t="s">
        <v>0</v>
      </c>
      <c r="C3" s="7" t="s">
        <v>1</v>
      </c>
      <c r="D3" s="8" t="s">
        <v>2</v>
      </c>
      <c r="E3" s="9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</row>
    <row r="4" spans="2:20" ht="24" customHeight="1" x14ac:dyDescent="0.25">
      <c r="B4" s="11">
        <v>14534</v>
      </c>
      <c r="C4" s="12" t="s">
        <v>16</v>
      </c>
      <c r="D4" s="13" t="s">
        <v>17</v>
      </c>
      <c r="E4" s="14">
        <v>661502365</v>
      </c>
      <c r="F4" s="15">
        <v>15561643.007422011</v>
      </c>
      <c r="G4" s="15">
        <v>15145940.474261014</v>
      </c>
      <c r="H4" s="15">
        <v>17211296.162946112</v>
      </c>
      <c r="I4" s="15">
        <v>18675217.603145543</v>
      </c>
      <c r="J4" s="15">
        <v>19455465.415718418</v>
      </c>
      <c r="K4" s="15">
        <v>15738887.427806662</v>
      </c>
      <c r="L4" s="15">
        <v>49463572.916146651</v>
      </c>
      <c r="M4" s="15">
        <v>72392721.387548089</v>
      </c>
      <c r="N4" s="15">
        <v>44519694.641670868</v>
      </c>
      <c r="O4" s="15">
        <v>122591510.5969629</v>
      </c>
      <c r="P4" s="15">
        <v>139782606.57851923</v>
      </c>
      <c r="Q4" s="15">
        <v>130963808.78785259</v>
      </c>
      <c r="R4" s="16">
        <f t="shared" ref="R4:R30" si="0">SUM(F4:Q4)</f>
        <v>661502365</v>
      </c>
      <c r="S4" s="17">
        <f t="shared" ref="S4:S29" si="1">+R4-E4</f>
        <v>0</v>
      </c>
      <c r="T4" s="17">
        <f t="shared" ref="T4:T9" si="2">SUM(I4:K4)</f>
        <v>53869570.446670622</v>
      </c>
    </row>
    <row r="5" spans="2:20" ht="23.25" customHeight="1" x14ac:dyDescent="0.25">
      <c r="B5" s="18"/>
      <c r="C5" s="19"/>
      <c r="D5" s="13" t="s">
        <v>18</v>
      </c>
      <c r="E5" s="14">
        <v>65000000</v>
      </c>
      <c r="F5" s="15">
        <v>1529105.3350692566</v>
      </c>
      <c r="G5" s="15">
        <v>1488257.9154905453</v>
      </c>
      <c r="H5" s="15">
        <v>1691202.1933458957</v>
      </c>
      <c r="I5" s="15">
        <v>1835048.8349417471</v>
      </c>
      <c r="J5" s="15">
        <v>1911716.9022089546</v>
      </c>
      <c r="K5" s="15">
        <v>1546521.5801721783</v>
      </c>
      <c r="L5" s="15">
        <v>4860348.8205964807</v>
      </c>
      <c r="M5" s="15">
        <v>7113393.9032714199</v>
      </c>
      <c r="N5" s="15">
        <v>4374557.5296750544</v>
      </c>
      <c r="O5" s="15">
        <v>12045985.941112377</v>
      </c>
      <c r="P5" s="15">
        <v>13735203.240889018</v>
      </c>
      <c r="Q5" s="15">
        <v>12868657.80322708</v>
      </c>
      <c r="R5" s="16">
        <f t="shared" ref="R5" si="3">SUM(F5:Q5)</f>
        <v>65000000.000000007</v>
      </c>
      <c r="S5" s="17">
        <f t="shared" si="1"/>
        <v>0</v>
      </c>
      <c r="T5" s="17">
        <f t="shared" si="2"/>
        <v>5293287.31732288</v>
      </c>
    </row>
    <row r="6" spans="2:20" ht="22.5" customHeight="1" x14ac:dyDescent="0.25">
      <c r="B6" s="18"/>
      <c r="C6" s="19"/>
      <c r="D6" s="13" t="s">
        <v>19</v>
      </c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>
        <f t="shared" si="0"/>
        <v>0</v>
      </c>
      <c r="S6" s="17">
        <f t="shared" si="1"/>
        <v>0</v>
      </c>
      <c r="T6" s="17">
        <f t="shared" si="2"/>
        <v>0</v>
      </c>
    </row>
    <row r="7" spans="2:20" ht="60" x14ac:dyDescent="0.25">
      <c r="B7" s="20">
        <v>14078</v>
      </c>
      <c r="C7" s="21" t="s">
        <v>20</v>
      </c>
      <c r="D7" s="22" t="s">
        <v>19</v>
      </c>
      <c r="E7" s="23">
        <v>102827912.94</v>
      </c>
      <c r="F7" s="24"/>
      <c r="G7" s="15"/>
      <c r="H7" s="15">
        <f>+E7/4</f>
        <v>25706978.234999999</v>
      </c>
      <c r="I7" s="15"/>
      <c r="J7" s="15"/>
      <c r="K7" s="15">
        <f>+H7</f>
        <v>25706978.234999999</v>
      </c>
      <c r="L7" s="15"/>
      <c r="M7" s="15"/>
      <c r="N7" s="15">
        <f>+K7</f>
        <v>25706978.234999999</v>
      </c>
      <c r="O7" s="15"/>
      <c r="P7" s="15"/>
      <c r="Q7" s="15">
        <f>+N7</f>
        <v>25706978.234999999</v>
      </c>
      <c r="R7" s="16">
        <f t="shared" si="0"/>
        <v>102827912.94</v>
      </c>
      <c r="S7" s="17">
        <f t="shared" si="1"/>
        <v>0</v>
      </c>
      <c r="T7" s="17">
        <f t="shared" si="2"/>
        <v>25706978.234999999</v>
      </c>
    </row>
    <row r="8" spans="2:20" ht="30" hidden="1" x14ac:dyDescent="0.25">
      <c r="B8" s="20">
        <v>14082</v>
      </c>
      <c r="C8" s="21" t="s">
        <v>21</v>
      </c>
      <c r="D8" s="22" t="s">
        <v>19</v>
      </c>
      <c r="E8" s="23"/>
      <c r="F8" s="2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">
        <f t="shared" si="0"/>
        <v>0</v>
      </c>
      <c r="S8" s="17">
        <f t="shared" si="1"/>
        <v>0</v>
      </c>
      <c r="T8" s="17">
        <f t="shared" si="2"/>
        <v>0</v>
      </c>
    </row>
    <row r="9" spans="2:20" ht="45" x14ac:dyDescent="0.25">
      <c r="B9" s="20">
        <v>14074</v>
      </c>
      <c r="C9" s="21" t="s">
        <v>22</v>
      </c>
      <c r="D9" s="22" t="s">
        <v>19</v>
      </c>
      <c r="E9" s="25">
        <v>265782181.24000001</v>
      </c>
      <c r="F9" s="24">
        <f>+E9*0.05</f>
        <v>13289109.062000001</v>
      </c>
      <c r="G9" s="15"/>
      <c r="H9" s="15">
        <f>+E9*0.1</f>
        <v>26578218.124000002</v>
      </c>
      <c r="I9" s="15">
        <f>+E9*0.12</f>
        <v>31893861.748799998</v>
      </c>
      <c r="J9" s="15"/>
      <c r="K9" s="15">
        <f>+E9*0.15</f>
        <v>39867327.185999997</v>
      </c>
      <c r="L9" s="15">
        <f>+E9*0.1</f>
        <v>26578218.124000002</v>
      </c>
      <c r="M9" s="15"/>
      <c r="N9" s="15">
        <f>+E9*0.2</f>
        <v>53156436.248000003</v>
      </c>
      <c r="O9" s="15">
        <f>+E9*0.05</f>
        <v>13289109.062000001</v>
      </c>
      <c r="P9" s="15">
        <f>+E9-F9-H9-I9-K9-L9-N9-O9</f>
        <v>61129901.685199983</v>
      </c>
      <c r="Q9" s="15"/>
      <c r="R9" s="16">
        <f t="shared" si="0"/>
        <v>265782181.23999998</v>
      </c>
      <c r="S9" s="17">
        <f t="shared" si="1"/>
        <v>0</v>
      </c>
      <c r="T9" s="17">
        <f t="shared" si="2"/>
        <v>71761188.934799999</v>
      </c>
    </row>
    <row r="10" spans="2:20" ht="45" x14ac:dyDescent="0.25">
      <c r="B10" s="20">
        <v>14079</v>
      </c>
      <c r="C10" s="21" t="s">
        <v>23</v>
      </c>
      <c r="D10" s="22" t="s">
        <v>19</v>
      </c>
      <c r="E10" s="25">
        <v>20801329.109999985</v>
      </c>
      <c r="F10" s="24"/>
      <c r="G10" s="15">
        <f>+E10/3</f>
        <v>6933776.3699999945</v>
      </c>
      <c r="H10" s="15"/>
      <c r="I10" s="15"/>
      <c r="J10" s="15">
        <f>+G10</f>
        <v>6933776.3699999945</v>
      </c>
      <c r="K10" s="15"/>
      <c r="L10" s="15"/>
      <c r="M10" s="15">
        <f>+J10</f>
        <v>6933776.3699999945</v>
      </c>
      <c r="N10" s="15"/>
      <c r="O10" s="15"/>
      <c r="P10" s="15"/>
      <c r="Q10" s="15"/>
      <c r="R10" s="16">
        <f t="shared" si="0"/>
        <v>20801329.109999985</v>
      </c>
      <c r="S10" s="17">
        <f t="shared" si="1"/>
        <v>0</v>
      </c>
      <c r="T10" s="17">
        <f t="shared" ref="T10" si="4">SUM(I10:K10)</f>
        <v>6933776.3699999945</v>
      </c>
    </row>
    <row r="11" spans="2:20" ht="45" x14ac:dyDescent="0.25">
      <c r="B11" s="20">
        <v>14080</v>
      </c>
      <c r="C11" s="21" t="s">
        <v>24</v>
      </c>
      <c r="D11" s="22" t="s">
        <v>19</v>
      </c>
      <c r="E11" s="25">
        <v>131800637.64999999</v>
      </c>
      <c r="F11" s="24">
        <f>+E11*0.15</f>
        <v>19770095.647499997</v>
      </c>
      <c r="G11" s="15">
        <f>+E11*0.25</f>
        <v>32950159.412499998</v>
      </c>
      <c r="H11" s="15">
        <f>+E11*0.2</f>
        <v>26360127.530000001</v>
      </c>
      <c r="I11" s="15">
        <f>+E11*0.3</f>
        <v>39540191.294999994</v>
      </c>
      <c r="J11" s="15">
        <f>+E11-F11-G11-H11-I11</f>
        <v>13180063.765000008</v>
      </c>
      <c r="K11" s="15"/>
      <c r="L11" s="15"/>
      <c r="M11" s="15"/>
      <c r="N11" s="15"/>
      <c r="O11" s="15"/>
      <c r="P11" s="15"/>
      <c r="Q11" s="15"/>
      <c r="R11" s="16">
        <f t="shared" si="0"/>
        <v>131800637.65000001</v>
      </c>
      <c r="S11" s="17">
        <f t="shared" si="1"/>
        <v>0</v>
      </c>
      <c r="T11" s="17">
        <f t="shared" ref="T11:T30" si="5">SUM(I11:K11)</f>
        <v>52720255.060000002</v>
      </c>
    </row>
    <row r="12" spans="2:20" ht="45" hidden="1" x14ac:dyDescent="0.25">
      <c r="B12" s="20">
        <v>12494</v>
      </c>
      <c r="C12" s="21" t="s">
        <v>25</v>
      </c>
      <c r="D12" s="22" t="s">
        <v>19</v>
      </c>
      <c r="E12" s="23"/>
      <c r="F12" s="2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6">
        <f t="shared" si="0"/>
        <v>0</v>
      </c>
      <c r="S12" s="17">
        <f t="shared" si="1"/>
        <v>0</v>
      </c>
      <c r="T12" s="17">
        <f t="shared" si="5"/>
        <v>0</v>
      </c>
    </row>
    <row r="13" spans="2:20" ht="30" hidden="1" x14ac:dyDescent="0.25">
      <c r="B13" s="20">
        <v>14060</v>
      </c>
      <c r="C13" s="21" t="s">
        <v>26</v>
      </c>
      <c r="D13" s="22" t="s">
        <v>19</v>
      </c>
      <c r="E13" s="25"/>
      <c r="F13" s="2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6">
        <f t="shared" si="0"/>
        <v>0</v>
      </c>
      <c r="S13" s="17">
        <f t="shared" si="1"/>
        <v>0</v>
      </c>
      <c r="T13" s="17">
        <f t="shared" si="5"/>
        <v>0</v>
      </c>
    </row>
    <row r="14" spans="2:20" ht="30" x14ac:dyDescent="0.25">
      <c r="B14" s="20">
        <v>14183</v>
      </c>
      <c r="C14" s="21" t="s">
        <v>27</v>
      </c>
      <c r="D14" s="22" t="s">
        <v>19</v>
      </c>
      <c r="E14" s="25">
        <v>948528910.90799999</v>
      </c>
      <c r="F14" s="24">
        <f>+E14*0.02</f>
        <v>18970578.21816</v>
      </c>
      <c r="G14" s="15">
        <f>+E14*0.06</f>
        <v>56911734.654479995</v>
      </c>
      <c r="H14" s="15">
        <f>+E14*0.07</f>
        <v>66397023.763560005</v>
      </c>
      <c r="I14" s="15">
        <f>+E14*0.12</f>
        <v>113823469.30895999</v>
      </c>
      <c r="J14" s="15">
        <f>+E14*0.11</f>
        <v>104338180.19988</v>
      </c>
      <c r="K14" s="15">
        <f>+E14*0.22</f>
        <v>208676360.39976001</v>
      </c>
      <c r="L14" s="15">
        <f>+E14*0.04</f>
        <v>37941156.436319999</v>
      </c>
      <c r="M14" s="15">
        <f>+E14*0.025</f>
        <v>23713222.772700001</v>
      </c>
      <c r="N14" s="15">
        <f>+E14*0.14</f>
        <v>132794047.52712001</v>
      </c>
      <c r="O14" s="15">
        <f>+E14*0.13</f>
        <v>123308758.41804001</v>
      </c>
      <c r="P14" s="15">
        <f>+E14*0.02</f>
        <v>18970578.21816</v>
      </c>
      <c r="Q14" s="15">
        <f>+E14-F14-G14-H14-I14-J14-K14-L14-M14-N14-O14-P14</f>
        <v>42683800.990859926</v>
      </c>
      <c r="R14" s="16">
        <f>SUM(F14:Q14)</f>
        <v>948528910.90799999</v>
      </c>
      <c r="S14" s="17">
        <f>+R14-E14</f>
        <v>0</v>
      </c>
      <c r="T14" s="17">
        <f t="shared" si="5"/>
        <v>426838009.90859997</v>
      </c>
    </row>
    <row r="15" spans="2:20" ht="30" x14ac:dyDescent="0.25">
      <c r="B15" s="20">
        <v>14177</v>
      </c>
      <c r="C15" s="21" t="s">
        <v>28</v>
      </c>
      <c r="D15" s="22" t="s">
        <v>19</v>
      </c>
      <c r="E15" s="25">
        <v>75974092.329999998</v>
      </c>
      <c r="F15" s="24"/>
      <c r="G15" s="15"/>
      <c r="H15" s="15">
        <f>+E15/2</f>
        <v>37987046.164999999</v>
      </c>
      <c r="I15" s="15"/>
      <c r="J15" s="15"/>
      <c r="K15" s="15"/>
      <c r="L15" s="15"/>
      <c r="M15" s="15"/>
      <c r="N15" s="15">
        <f>+H15</f>
        <v>37987046.164999999</v>
      </c>
      <c r="O15" s="15"/>
      <c r="P15" s="15"/>
      <c r="Q15" s="15"/>
      <c r="R15" s="16">
        <f t="shared" si="0"/>
        <v>75974092.329999998</v>
      </c>
      <c r="S15" s="17">
        <f t="shared" si="1"/>
        <v>0</v>
      </c>
      <c r="T15" s="17">
        <f t="shared" si="5"/>
        <v>0</v>
      </c>
    </row>
    <row r="16" spans="2:20" ht="33" customHeight="1" x14ac:dyDescent="0.25">
      <c r="B16" s="20">
        <v>14151</v>
      </c>
      <c r="C16" s="21" t="s">
        <v>29</v>
      </c>
      <c r="D16" s="22" t="s">
        <v>17</v>
      </c>
      <c r="E16" s="25">
        <v>1116284111</v>
      </c>
      <c r="F16" s="24">
        <v>100110351.9612</v>
      </c>
      <c r="G16" s="15">
        <v>95343193.512000009</v>
      </c>
      <c r="H16" s="15">
        <v>109644671.92560001</v>
      </c>
      <c r="I16" s="15">
        <v>100110351.9612</v>
      </c>
      <c r="J16" s="15">
        <v>104877511.63680001</v>
      </c>
      <c r="K16" s="15">
        <v>104877511.63680001</v>
      </c>
      <c r="L16" s="15">
        <v>71820465.620399997</v>
      </c>
      <c r="M16" s="15">
        <v>108912762.5376</v>
      </c>
      <c r="N16" s="15">
        <v>104177424.876</v>
      </c>
      <c r="O16" s="15">
        <v>99442087.214399993</v>
      </c>
      <c r="P16" s="15">
        <v>66704091.610799998</v>
      </c>
      <c r="Q16" s="15">
        <v>50263686.507200003</v>
      </c>
      <c r="R16" s="16">
        <f t="shared" si="0"/>
        <v>1116284111</v>
      </c>
      <c r="S16" s="17">
        <f t="shared" si="1"/>
        <v>0</v>
      </c>
      <c r="T16" s="17">
        <f t="shared" si="5"/>
        <v>309865375.23479998</v>
      </c>
    </row>
    <row r="17" spans="2:20" ht="45" x14ac:dyDescent="0.25">
      <c r="B17" s="20">
        <v>14412</v>
      </c>
      <c r="C17" s="21" t="s">
        <v>30</v>
      </c>
      <c r="D17" s="22" t="s">
        <v>19</v>
      </c>
      <c r="E17" s="25">
        <v>218049787.46000001</v>
      </c>
      <c r="F17" s="24"/>
      <c r="G17" s="15"/>
      <c r="H17" s="15">
        <f>+E17*0.35</f>
        <v>76317425.611000001</v>
      </c>
      <c r="I17" s="15"/>
      <c r="J17" s="15"/>
      <c r="K17" s="15">
        <f>+E17*0.2</f>
        <v>43609957.492000006</v>
      </c>
      <c r="L17" s="15"/>
      <c r="M17" s="15"/>
      <c r="N17" s="15">
        <f>+E17*0.25</f>
        <v>54512446.865000002</v>
      </c>
      <c r="O17" s="15"/>
      <c r="P17" s="15">
        <f>+E17*0.2</f>
        <v>43609957.492000006</v>
      </c>
      <c r="Q17" s="15"/>
      <c r="R17" s="16">
        <f t="shared" si="0"/>
        <v>218049787.46000004</v>
      </c>
      <c r="S17" s="17">
        <f t="shared" si="1"/>
        <v>0</v>
      </c>
      <c r="T17" s="17">
        <f t="shared" si="5"/>
        <v>43609957.492000006</v>
      </c>
    </row>
    <row r="18" spans="2:20" ht="30" x14ac:dyDescent="0.25">
      <c r="B18" s="20">
        <v>14409</v>
      </c>
      <c r="C18" s="21" t="s">
        <v>31</v>
      </c>
      <c r="D18" s="22" t="s">
        <v>19</v>
      </c>
      <c r="E18" s="25">
        <v>183377636.94</v>
      </c>
      <c r="F18" s="24"/>
      <c r="G18" s="15">
        <f>+E18*0.3</f>
        <v>55013291.081999995</v>
      </c>
      <c r="H18" s="15"/>
      <c r="I18" s="15"/>
      <c r="J18" s="15">
        <f>+E18*0.2</f>
        <v>36675527.388000004</v>
      </c>
      <c r="K18" s="15"/>
      <c r="L18" s="15"/>
      <c r="M18" s="15">
        <f>+E18*0.4</f>
        <v>73351054.776000008</v>
      </c>
      <c r="N18" s="15"/>
      <c r="O18" s="15">
        <f>+E18*0.1</f>
        <v>18337763.694000002</v>
      </c>
      <c r="P18" s="15"/>
      <c r="Q18" s="15"/>
      <c r="R18" s="16">
        <f t="shared" si="0"/>
        <v>183377636.94</v>
      </c>
      <c r="S18" s="17">
        <f t="shared" si="1"/>
        <v>0</v>
      </c>
      <c r="T18" s="17">
        <f t="shared" si="5"/>
        <v>36675527.388000004</v>
      </c>
    </row>
    <row r="19" spans="2:20" ht="45" x14ac:dyDescent="0.25">
      <c r="B19" s="20">
        <v>14410</v>
      </c>
      <c r="C19" s="21" t="s">
        <v>32</v>
      </c>
      <c r="D19" s="22" t="s">
        <v>19</v>
      </c>
      <c r="E19" s="25">
        <v>291369456.24000001</v>
      </c>
      <c r="F19" s="24">
        <f>+E19*0.08</f>
        <v>23309556.499200001</v>
      </c>
      <c r="G19" s="15"/>
      <c r="H19" s="15">
        <f>+E19*0.1</f>
        <v>29136945.624000002</v>
      </c>
      <c r="I19" s="15"/>
      <c r="J19" s="15">
        <f>+E19*0.18</f>
        <v>52446502.123199999</v>
      </c>
      <c r="K19" s="15"/>
      <c r="L19" s="15">
        <f>+E19*0.22</f>
        <v>64101280.3728</v>
      </c>
      <c r="M19" s="15"/>
      <c r="N19" s="15">
        <f>+E19*0.26</f>
        <v>75756058.622400001</v>
      </c>
      <c r="O19" s="15"/>
      <c r="P19" s="15">
        <f>+E19-F19-H19-J19-L19-N19</f>
        <v>46619112.998400018</v>
      </c>
      <c r="Q19" s="15"/>
      <c r="R19" s="16">
        <f t="shared" si="0"/>
        <v>291369456.24000001</v>
      </c>
      <c r="S19" s="17">
        <f t="shared" si="1"/>
        <v>0</v>
      </c>
      <c r="T19" s="17">
        <f t="shared" si="5"/>
        <v>52446502.123199999</v>
      </c>
    </row>
    <row r="20" spans="2:20" ht="33" customHeight="1" x14ac:dyDescent="0.25">
      <c r="B20" s="20">
        <v>14414</v>
      </c>
      <c r="C20" s="21" t="s">
        <v>33</v>
      </c>
      <c r="D20" s="22" t="s">
        <v>19</v>
      </c>
      <c r="E20" s="25">
        <v>152226325.47999996</v>
      </c>
      <c r="F20" s="15"/>
      <c r="G20" s="15">
        <f>+E20*0.3</f>
        <v>45667897.643999986</v>
      </c>
      <c r="H20" s="15"/>
      <c r="I20" s="15"/>
      <c r="J20" s="15">
        <f>+E20*0.4</f>
        <v>60890530.191999987</v>
      </c>
      <c r="K20" s="15"/>
      <c r="L20" s="15"/>
      <c r="M20" s="15"/>
      <c r="N20" s="15">
        <f>+E20*0.3</f>
        <v>45667897.643999986</v>
      </c>
      <c r="O20" s="15"/>
      <c r="P20" s="15"/>
      <c r="Q20" s="15"/>
      <c r="R20" s="16">
        <f t="shared" si="0"/>
        <v>152226325.47999996</v>
      </c>
      <c r="S20" s="17">
        <f t="shared" si="1"/>
        <v>0</v>
      </c>
      <c r="T20" s="17">
        <f t="shared" si="5"/>
        <v>60890530.191999987</v>
      </c>
    </row>
    <row r="21" spans="2:20" ht="45" x14ac:dyDescent="0.25">
      <c r="B21" s="20">
        <v>14413</v>
      </c>
      <c r="C21" s="21" t="s">
        <v>34</v>
      </c>
      <c r="D21" s="22" t="s">
        <v>19</v>
      </c>
      <c r="E21" s="25">
        <v>103656057.63000001</v>
      </c>
      <c r="F21" s="24"/>
      <c r="G21" s="15"/>
      <c r="H21" s="15">
        <f>+E21*0.25</f>
        <v>25914014.407500003</v>
      </c>
      <c r="I21" s="15"/>
      <c r="J21" s="15">
        <f>+E21*0.15</f>
        <v>15548408.6445</v>
      </c>
      <c r="K21" s="15"/>
      <c r="L21" s="15"/>
      <c r="M21" s="15">
        <f>+E21*0.4</f>
        <v>41462423.052000009</v>
      </c>
      <c r="N21" s="15"/>
      <c r="O21" s="15"/>
      <c r="P21" s="15"/>
      <c r="Q21" s="15">
        <f>+E21*0.2</f>
        <v>20731211.526000004</v>
      </c>
      <c r="R21" s="16">
        <f t="shared" si="0"/>
        <v>103656057.63000001</v>
      </c>
      <c r="S21" s="17">
        <f t="shared" si="1"/>
        <v>0</v>
      </c>
      <c r="T21" s="17">
        <f t="shared" si="5"/>
        <v>15548408.6445</v>
      </c>
    </row>
    <row r="22" spans="2:20" ht="33" customHeight="1" x14ac:dyDescent="0.25">
      <c r="B22" s="20">
        <v>14408</v>
      </c>
      <c r="C22" s="21" t="s">
        <v>35</v>
      </c>
      <c r="D22" s="22" t="s">
        <v>19</v>
      </c>
      <c r="E22" s="25">
        <v>179417467.48999998</v>
      </c>
      <c r="F22" s="24"/>
      <c r="G22" s="15">
        <f>+E22*0.15</f>
        <v>26912620.123499997</v>
      </c>
      <c r="H22" s="15"/>
      <c r="I22" s="15">
        <f>+E22*0.45</f>
        <v>80737860.370499998</v>
      </c>
      <c r="J22" s="15"/>
      <c r="K22" s="15"/>
      <c r="L22" s="15">
        <f>+E22*0.25</f>
        <v>44854366.872499995</v>
      </c>
      <c r="M22" s="15"/>
      <c r="N22" s="15"/>
      <c r="O22" s="15">
        <f>+E22*0.15</f>
        <v>26912620.123499997</v>
      </c>
      <c r="P22" s="15"/>
      <c r="Q22" s="15"/>
      <c r="R22" s="16">
        <f t="shared" si="0"/>
        <v>179417467.48999998</v>
      </c>
      <c r="S22" s="17">
        <f t="shared" si="1"/>
        <v>0</v>
      </c>
      <c r="T22" s="17">
        <f t="shared" si="5"/>
        <v>80737860.370499998</v>
      </c>
    </row>
    <row r="23" spans="2:20" ht="45" x14ac:dyDescent="0.25">
      <c r="B23" s="20">
        <v>14447</v>
      </c>
      <c r="C23" s="21" t="s">
        <v>36</v>
      </c>
      <c r="D23" s="22" t="s">
        <v>19</v>
      </c>
      <c r="E23" s="25">
        <v>276492077.21380001</v>
      </c>
      <c r="F23" s="24">
        <f>+E23*0.05</f>
        <v>13824603.860690001</v>
      </c>
      <c r="G23" s="15"/>
      <c r="H23" s="15">
        <f>+E23*0.3</f>
        <v>82947623.164140001</v>
      </c>
      <c r="I23" s="15"/>
      <c r="J23" s="15">
        <f>+E23*0.2</f>
        <v>55298415.442760006</v>
      </c>
      <c r="K23" s="15"/>
      <c r="L23" s="15">
        <f>+E23*0.45</f>
        <v>124421434.74621001</v>
      </c>
      <c r="M23" s="15"/>
      <c r="N23" s="15"/>
      <c r="O23" s="15"/>
      <c r="P23" s="15"/>
      <c r="Q23" s="15"/>
      <c r="R23" s="16">
        <f t="shared" ref="R23:R29" si="6">SUM(F23:Q23)</f>
        <v>276492077.21380001</v>
      </c>
      <c r="S23" s="17">
        <f t="shared" si="1"/>
        <v>0</v>
      </c>
      <c r="T23" s="17"/>
    </row>
    <row r="24" spans="2:20" ht="45" x14ac:dyDescent="0.25">
      <c r="B24" s="20">
        <v>14448</v>
      </c>
      <c r="C24" s="21" t="s">
        <v>37</v>
      </c>
      <c r="D24" s="22" t="s">
        <v>19</v>
      </c>
      <c r="E24" s="25">
        <v>92948011.285600007</v>
      </c>
      <c r="F24" s="24"/>
      <c r="G24" s="15">
        <f>+E24*0.2</f>
        <v>18589602.257120002</v>
      </c>
      <c r="H24" s="15">
        <f>+E24*0.1</f>
        <v>9294801.128560001</v>
      </c>
      <c r="I24" s="15"/>
      <c r="J24" s="15"/>
      <c r="K24" s="15">
        <f>+E24*0.4</f>
        <v>37179204.514240004</v>
      </c>
      <c r="L24" s="15"/>
      <c r="M24" s="15"/>
      <c r="N24" s="15"/>
      <c r="O24" s="15"/>
      <c r="P24" s="15"/>
      <c r="Q24" s="15">
        <f>+E24*0.3</f>
        <v>27884403.385680001</v>
      </c>
      <c r="R24" s="16">
        <f t="shared" si="6"/>
        <v>92948011.285600007</v>
      </c>
      <c r="S24" s="17">
        <f t="shared" si="1"/>
        <v>0</v>
      </c>
      <c r="T24" s="17"/>
    </row>
    <row r="25" spans="2:20" ht="45" x14ac:dyDescent="0.25">
      <c r="B25" s="20">
        <v>14449</v>
      </c>
      <c r="C25" s="21" t="s">
        <v>38</v>
      </c>
      <c r="D25" s="22" t="s">
        <v>19</v>
      </c>
      <c r="E25" s="25">
        <v>31055041.631999999</v>
      </c>
      <c r="F25" s="24"/>
      <c r="G25" s="15"/>
      <c r="H25" s="15">
        <f>+E25*0.6</f>
        <v>18633024.979199998</v>
      </c>
      <c r="I25" s="15"/>
      <c r="J25" s="15"/>
      <c r="K25" s="15"/>
      <c r="L25" s="15">
        <f>+E25*0.4</f>
        <v>12422016.652800001</v>
      </c>
      <c r="M25" s="15"/>
      <c r="N25" s="15"/>
      <c r="O25" s="15"/>
      <c r="P25" s="15"/>
      <c r="Q25" s="15"/>
      <c r="R25" s="16">
        <f t="shared" si="6"/>
        <v>31055041.631999999</v>
      </c>
      <c r="S25" s="17">
        <f t="shared" si="1"/>
        <v>0</v>
      </c>
      <c r="T25" s="17"/>
    </row>
    <row r="26" spans="2:20" ht="33" customHeight="1" x14ac:dyDescent="0.25">
      <c r="B26" s="20">
        <v>14450</v>
      </c>
      <c r="C26" s="21" t="s">
        <v>39</v>
      </c>
      <c r="D26" s="22" t="s">
        <v>19</v>
      </c>
      <c r="E26" s="25">
        <v>264195275.22339919</v>
      </c>
      <c r="F26" s="24"/>
      <c r="G26" s="15">
        <f>+E26*0.3</f>
        <v>79258582.567019761</v>
      </c>
      <c r="H26" s="15"/>
      <c r="I26" s="15">
        <f>+E26*0.2</f>
        <v>52839055.044679843</v>
      </c>
      <c r="J26" s="15"/>
      <c r="K26" s="15"/>
      <c r="L26" s="15">
        <f>+E26*0.25</f>
        <v>66048818.805849798</v>
      </c>
      <c r="M26" s="15"/>
      <c r="N26" s="15"/>
      <c r="O26" s="15"/>
      <c r="P26" s="15"/>
      <c r="Q26" s="15">
        <f>+E26*0.25</f>
        <v>66048818.805849798</v>
      </c>
      <c r="R26" s="16">
        <f t="shared" si="6"/>
        <v>264195275.22339919</v>
      </c>
      <c r="S26" s="17">
        <f t="shared" si="1"/>
        <v>0</v>
      </c>
      <c r="T26" s="17"/>
    </row>
    <row r="27" spans="2:20" ht="45" x14ac:dyDescent="0.25">
      <c r="B27" s="20">
        <v>14451</v>
      </c>
      <c r="C27" s="21" t="s">
        <v>40</v>
      </c>
      <c r="D27" s="22" t="s">
        <v>19</v>
      </c>
      <c r="E27" s="25">
        <v>192639483.28</v>
      </c>
      <c r="F27" s="24"/>
      <c r="G27" s="15"/>
      <c r="H27" s="15">
        <f>+E27*0.12</f>
        <v>23116737.9936</v>
      </c>
      <c r="I27" s="15"/>
      <c r="J27" s="15">
        <f>+E27*0.28</f>
        <v>53939055.318400003</v>
      </c>
      <c r="K27" s="15"/>
      <c r="L27" s="15"/>
      <c r="M27" s="15">
        <f>+E27*0.5</f>
        <v>96319741.640000001</v>
      </c>
      <c r="N27" s="15"/>
      <c r="O27" s="15">
        <f>+E27*0.1</f>
        <v>19263948.328000002</v>
      </c>
      <c r="P27" s="15"/>
      <c r="Q27" s="15"/>
      <c r="R27" s="16">
        <f t="shared" si="6"/>
        <v>192639483.28000003</v>
      </c>
      <c r="S27" s="17">
        <f t="shared" si="1"/>
        <v>0</v>
      </c>
      <c r="T27" s="17"/>
    </row>
    <row r="28" spans="2:20" ht="60" x14ac:dyDescent="0.25">
      <c r="B28" s="20">
        <v>14452</v>
      </c>
      <c r="C28" s="21" t="s">
        <v>41</v>
      </c>
      <c r="D28" s="22" t="s">
        <v>19</v>
      </c>
      <c r="E28" s="25">
        <v>69048242.067200005</v>
      </c>
      <c r="F28" s="24"/>
      <c r="G28" s="15">
        <f>+E28*0.25</f>
        <v>17262060.516800001</v>
      </c>
      <c r="H28" s="15"/>
      <c r="I28" s="15">
        <f>+E28*0.35</f>
        <v>24166884.72352</v>
      </c>
      <c r="J28" s="15"/>
      <c r="K28" s="15"/>
      <c r="L28" s="15"/>
      <c r="M28" s="15">
        <f>+E28*0.35</f>
        <v>24166884.72352</v>
      </c>
      <c r="N28" s="15"/>
      <c r="O28" s="15"/>
      <c r="P28" s="15">
        <f>+E28*0.05</f>
        <v>3452412.1033600005</v>
      </c>
      <c r="Q28" s="15"/>
      <c r="R28" s="16">
        <f t="shared" si="6"/>
        <v>69048242.06719999</v>
      </c>
      <c r="S28" s="17">
        <f t="shared" si="1"/>
        <v>0</v>
      </c>
      <c r="T28" s="17"/>
    </row>
    <row r="29" spans="2:20" ht="33" customHeight="1" x14ac:dyDescent="0.25">
      <c r="B29" s="20">
        <v>14411</v>
      </c>
      <c r="C29" s="21" t="s">
        <v>42</v>
      </c>
      <c r="D29" s="22" t="s">
        <v>19</v>
      </c>
      <c r="E29" s="25">
        <v>128010073.88</v>
      </c>
      <c r="F29" s="24"/>
      <c r="G29" s="15">
        <f>+E29*0.2</f>
        <v>25602014.776000001</v>
      </c>
      <c r="H29" s="15"/>
      <c r="I29" s="15">
        <f>+E29*0.15</f>
        <v>19201511.081999999</v>
      </c>
      <c r="J29" s="15"/>
      <c r="K29" s="15">
        <f>+E29*0.12</f>
        <v>15361208.865599999</v>
      </c>
      <c r="L29" s="15"/>
      <c r="M29" s="15"/>
      <c r="N29" s="15"/>
      <c r="O29" s="15">
        <f>+E29*0.28</f>
        <v>35842820.686400004</v>
      </c>
      <c r="P29" s="15"/>
      <c r="Q29" s="15">
        <v>32002518.469999999</v>
      </c>
      <c r="R29" s="16">
        <f t="shared" si="6"/>
        <v>128010073.88</v>
      </c>
      <c r="S29" s="17">
        <f t="shared" si="1"/>
        <v>0</v>
      </c>
      <c r="T29" s="17">
        <f t="shared" si="5"/>
        <v>34562719.9476</v>
      </c>
    </row>
    <row r="30" spans="2:20" ht="30" customHeight="1" thickBot="1" x14ac:dyDescent="0.3">
      <c r="B30" s="26" t="s">
        <v>43</v>
      </c>
      <c r="C30" s="27"/>
      <c r="D30" s="27"/>
      <c r="E30" s="28">
        <f t="shared" ref="E30:Q30" si="7">SUM(E4:E29)</f>
        <v>5570986475.9999981</v>
      </c>
      <c r="F30" s="29">
        <f t="shared" si="7"/>
        <v>206365043.59124124</v>
      </c>
      <c r="G30" s="29">
        <f t="shared" si="7"/>
        <v>477079131.30517131</v>
      </c>
      <c r="H30" s="29">
        <f t="shared" si="7"/>
        <v>576937137.00745201</v>
      </c>
      <c r="I30" s="29">
        <f t="shared" si="7"/>
        <v>482823451.97274709</v>
      </c>
      <c r="J30" s="29">
        <f t="shared" si="7"/>
        <v>525495153.39846742</v>
      </c>
      <c r="K30" s="29">
        <f t="shared" si="7"/>
        <v>492563957.3373788</v>
      </c>
      <c r="L30" s="29">
        <f t="shared" si="7"/>
        <v>502511679.36762291</v>
      </c>
      <c r="M30" s="29">
        <f t="shared" si="7"/>
        <v>454365981.16263944</v>
      </c>
      <c r="N30" s="29">
        <f t="shared" si="7"/>
        <v>578652588.35386586</v>
      </c>
      <c r="O30" s="29">
        <f t="shared" si="7"/>
        <v>471034604.06441528</v>
      </c>
      <c r="P30" s="29">
        <f t="shared" si="7"/>
        <v>394003863.92732823</v>
      </c>
      <c r="Q30" s="29">
        <f t="shared" si="7"/>
        <v>409153884.5116694</v>
      </c>
      <c r="R30" s="30">
        <f t="shared" si="0"/>
        <v>5570986475.999999</v>
      </c>
      <c r="T30" s="17">
        <f t="shared" si="5"/>
        <v>1500882562.7085934</v>
      </c>
    </row>
    <row r="31" spans="2:20" ht="19.5" customHeight="1" thickBot="1" x14ac:dyDescent="0.3">
      <c r="B31" s="31" t="s">
        <v>44</v>
      </c>
      <c r="C31" s="31"/>
      <c r="D31" s="31"/>
      <c r="E31" s="32"/>
      <c r="F31" s="33">
        <f>+F30+G30+H30</f>
        <v>1260381311.9038646</v>
      </c>
      <c r="G31" s="34"/>
      <c r="H31" s="35"/>
      <c r="I31" s="33">
        <f>+I30+J30+K30</f>
        <v>1500882562.7085934</v>
      </c>
      <c r="J31" s="34"/>
      <c r="K31" s="35"/>
      <c r="L31" s="33">
        <f>+L30+M30+N30</f>
        <v>1535530248.8841281</v>
      </c>
      <c r="M31" s="34"/>
      <c r="N31" s="35"/>
      <c r="O31" s="33">
        <f>+O30+P30+Q30</f>
        <v>1274192352.503413</v>
      </c>
      <c r="P31" s="34"/>
      <c r="Q31" s="35"/>
    </row>
    <row r="32" spans="2:20" ht="33.75" customHeight="1" x14ac:dyDescent="0.25">
      <c r="F32" s="39"/>
      <c r="G32" s="39"/>
      <c r="H32" s="39"/>
      <c r="I32" s="39"/>
      <c r="J32" s="39"/>
      <c r="K32" s="39"/>
    </row>
    <row r="35" spans="6:6" customFormat="1" x14ac:dyDescent="0.25">
      <c r="F35" s="16"/>
    </row>
  </sheetData>
  <mergeCells count="11">
    <mergeCell ref="B31:E31"/>
    <mergeCell ref="F31:H31"/>
    <mergeCell ref="I31:K31"/>
    <mergeCell ref="L31:N31"/>
    <mergeCell ref="O31:Q31"/>
    <mergeCell ref="B1:Q1"/>
    <mergeCell ref="F2:N2"/>
    <mergeCell ref="O2:Q2"/>
    <mergeCell ref="B4:B6"/>
    <mergeCell ref="C4:C6"/>
    <mergeCell ref="B30:D30"/>
  </mergeCells>
  <pageMargins left="0.25" right="0.25" top="0.75" bottom="0.75" header="0.3" footer="0.3"/>
  <pageSetup paperSize="5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Ejec+Reprog SNIP</vt:lpstr>
      <vt:lpstr>'Ejec+Reprog SNIP'!Área_de_impresión</vt:lpstr>
      <vt:lpstr>'Ejec+Reprog SNIP'!Títulos_a_imprimir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M. Polanco Albuerme</dc:creator>
  <cp:lastModifiedBy>Sergio M. Polanco Albuerme</cp:lastModifiedBy>
  <dcterms:created xsi:type="dcterms:W3CDTF">2022-01-13T15:05:13Z</dcterms:created>
  <dcterms:modified xsi:type="dcterms:W3CDTF">2022-01-13T15:06:09Z</dcterms:modified>
</cp:coreProperties>
</file>