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6455" windowHeight="7935"/>
  </bookViews>
  <sheets>
    <sheet name="Hoja6" sheetId="6" r:id="rId1"/>
  </sheets>
  <definedNames>
    <definedName name="_xlnm.Print_Titles" localSheetId="0">Hoja6!$3:$3</definedName>
  </definedNames>
  <calcPr calcId="144525"/>
</workbook>
</file>

<file path=xl/calcChain.xml><?xml version="1.0" encoding="utf-8"?>
<calcChain xmlns="http://schemas.openxmlformats.org/spreadsheetml/2006/main">
  <c r="S35" i="6" l="1"/>
  <c r="R33" i="6"/>
  <c r="R32" i="6"/>
  <c r="U29" i="6"/>
  <c r="J29" i="6"/>
  <c r="R29" i="6" s="1"/>
  <c r="L29" i="6"/>
  <c r="M29" i="6"/>
  <c r="O29" i="6"/>
  <c r="P29" i="6"/>
  <c r="J28" i="6"/>
  <c r="O24" i="6"/>
  <c r="O25" i="6"/>
  <c r="L23" i="6"/>
  <c r="O19" i="6"/>
  <c r="S18" i="6"/>
  <c r="S16" i="6"/>
  <c r="M16" i="6"/>
  <c r="O17" i="6"/>
  <c r="L17" i="6"/>
  <c r="Q16" i="6"/>
  <c r="O16" i="6"/>
  <c r="O15" i="6"/>
  <c r="M8" i="6" l="1"/>
  <c r="M6" i="6"/>
  <c r="M7" i="6"/>
  <c r="U5" i="6" l="1"/>
  <c r="I33" i="6"/>
  <c r="L33" i="6"/>
  <c r="N33" i="6"/>
  <c r="J31" i="6"/>
  <c r="R31" i="6" s="1"/>
  <c r="L31" i="6"/>
  <c r="M31" i="6"/>
  <c r="O31" i="6"/>
  <c r="P31" i="6"/>
  <c r="R30" i="6"/>
  <c r="P30" i="6"/>
  <c r="P28" i="6"/>
  <c r="O30" i="6"/>
  <c r="O28" i="6"/>
  <c r="M30" i="6"/>
  <c r="M28" i="6"/>
  <c r="L30" i="6"/>
  <c r="L28" i="6"/>
  <c r="J30" i="6"/>
  <c r="R28" i="6"/>
  <c r="U28" i="6" s="1"/>
  <c r="K27" i="6"/>
  <c r="K26" i="6"/>
  <c r="U26" i="6" s="1"/>
  <c r="U24" i="6"/>
  <c r="P23" i="6"/>
  <c r="P22" i="6"/>
  <c r="M23" i="6"/>
  <c r="M22" i="6"/>
  <c r="U22" i="6" s="1"/>
  <c r="U23" i="6"/>
  <c r="L22" i="6"/>
  <c r="K23" i="6"/>
  <c r="K22" i="6"/>
  <c r="S20" i="6"/>
  <c r="T20" i="6"/>
  <c r="S21" i="6"/>
  <c r="T21" i="6"/>
  <c r="T19" i="6"/>
  <c r="S19" i="6"/>
  <c r="P20" i="6"/>
  <c r="Q20" i="6"/>
  <c r="P21" i="6"/>
  <c r="Q21" i="6"/>
  <c r="Q19" i="6"/>
  <c r="P19" i="6"/>
  <c r="O20" i="6"/>
  <c r="O21" i="6"/>
  <c r="J20" i="6"/>
  <c r="J21" i="6"/>
  <c r="U21" i="6" s="1"/>
  <c r="J19" i="6"/>
  <c r="I18" i="6"/>
  <c r="U18" i="6" s="1"/>
  <c r="L18" i="6"/>
  <c r="M18" i="6"/>
  <c r="O18" i="6"/>
  <c r="P18" i="6"/>
  <c r="Q18" i="6"/>
  <c r="R18" i="6"/>
  <c r="T18" i="6"/>
  <c r="T17" i="6"/>
  <c r="S17" i="6"/>
  <c r="R17" i="6"/>
  <c r="Q17" i="6"/>
  <c r="P17" i="6"/>
  <c r="M17" i="6"/>
  <c r="I17" i="6"/>
  <c r="S15" i="6"/>
  <c r="Q15" i="6"/>
  <c r="M15" i="6"/>
  <c r="K16" i="6"/>
  <c r="U16" i="6" s="1"/>
  <c r="K15" i="6"/>
  <c r="J14" i="6"/>
  <c r="J13" i="6"/>
  <c r="R10" i="6"/>
  <c r="O11" i="6"/>
  <c r="O12" i="6"/>
  <c r="O10" i="6"/>
  <c r="L11" i="6"/>
  <c r="L12" i="6"/>
  <c r="L10" i="6"/>
  <c r="I11" i="6"/>
  <c r="I12" i="6"/>
  <c r="R12" i="6" s="1"/>
  <c r="U12" i="6" s="1"/>
  <c r="I10" i="6"/>
  <c r="M9" i="6"/>
  <c r="N32" i="6"/>
  <c r="L32" i="6"/>
  <c r="I32" i="6"/>
  <c r="J35" i="6"/>
  <c r="K35" i="6"/>
  <c r="L35" i="6"/>
  <c r="M35" i="6"/>
  <c r="N35" i="6"/>
  <c r="O35" i="6"/>
  <c r="P35" i="6"/>
  <c r="Q35" i="6"/>
  <c r="R35" i="6"/>
  <c r="T35" i="6" s="1"/>
  <c r="S34" i="6"/>
  <c r="R34" i="6"/>
  <c r="Q34" i="6"/>
  <c r="Q37" i="6" s="1"/>
  <c r="P34" i="6"/>
  <c r="O34" i="6"/>
  <c r="N34" i="6"/>
  <c r="M34" i="6"/>
  <c r="L34" i="6"/>
  <c r="K34" i="6"/>
  <c r="J34" i="6"/>
  <c r="S36" i="6"/>
  <c r="Q36" i="6"/>
  <c r="M36" i="6"/>
  <c r="K36" i="6"/>
  <c r="U6" i="6"/>
  <c r="U7" i="6"/>
  <c r="U9" i="6"/>
  <c r="U13" i="6"/>
  <c r="U14" i="6"/>
  <c r="U25" i="6"/>
  <c r="U27" i="6"/>
  <c r="U30" i="6"/>
  <c r="U4" i="6"/>
  <c r="H37" i="6"/>
  <c r="U33" i="6" l="1"/>
  <c r="N37" i="6"/>
  <c r="R11" i="6"/>
  <c r="I37" i="6"/>
  <c r="U31" i="6"/>
  <c r="P37" i="6"/>
  <c r="L37" i="6"/>
  <c r="U19" i="6"/>
  <c r="U20" i="6"/>
  <c r="M37" i="6"/>
  <c r="R37" i="6"/>
  <c r="U17" i="6"/>
  <c r="U35" i="6"/>
  <c r="S37" i="6"/>
  <c r="O37" i="6"/>
  <c r="K37" i="6"/>
  <c r="U15" i="6"/>
  <c r="J37" i="6"/>
  <c r="I38" i="6" s="1"/>
  <c r="U11" i="6"/>
  <c r="U10" i="6"/>
  <c r="U32" i="6"/>
  <c r="T34" i="6"/>
  <c r="U36" i="6"/>
  <c r="L38" i="6" l="1"/>
  <c r="O38" i="6"/>
  <c r="U34" i="6"/>
  <c r="T37" i="6"/>
  <c r="U37" i="6" s="1"/>
  <c r="R38" i="6" l="1"/>
</calcChain>
</file>

<file path=xl/sharedStrings.xml><?xml version="1.0" encoding="utf-8"?>
<sst xmlns="http://schemas.openxmlformats.org/spreadsheetml/2006/main" count="124" uniqueCount="63">
  <si>
    <t>SNIP</t>
  </si>
  <si>
    <t>Actividad / Obra</t>
  </si>
  <si>
    <t>Fuente Financiamiento</t>
  </si>
  <si>
    <t>Proyecto</t>
  </si>
  <si>
    <t>Objeta</t>
  </si>
  <si>
    <t>Monto RD$</t>
  </si>
  <si>
    <t>FONDO GENERAL</t>
  </si>
  <si>
    <t>Institucion</t>
  </si>
  <si>
    <t>Total General</t>
  </si>
  <si>
    <t>2.7.2.1.01</t>
  </si>
  <si>
    <r>
      <rPr>
        <sz val="16"/>
        <color indexed="8"/>
        <rFont val="Calibri"/>
        <family val="2"/>
        <scheme val="minor"/>
      </rPr>
      <t>Sistema Nacional de Inversión Pública</t>
    </r>
    <r>
      <rPr>
        <sz val="14"/>
        <color indexed="8"/>
        <rFont val="Arial"/>
        <family val="2"/>
      </rPr>
      <t xml:space="preserve">
</t>
    </r>
    <r>
      <rPr>
        <sz val="14"/>
        <color indexed="8"/>
        <rFont val="Century Schoolbook"/>
        <family val="1"/>
      </rPr>
      <t>Ministerio de Economía, Planificación y Desarrollo</t>
    </r>
    <r>
      <rPr>
        <sz val="14"/>
        <color indexed="8"/>
        <rFont val="Arial"/>
        <family val="2"/>
      </rPr>
      <t xml:space="preserve">
</t>
    </r>
    <r>
      <rPr>
        <b/>
        <sz val="14"/>
        <color indexed="8"/>
        <rFont val="Times New Roman"/>
        <family val="1"/>
      </rPr>
      <t>Listado de Proyectos en el Presupuesto Nacional 2017</t>
    </r>
  </si>
  <si>
    <t>CREDITO EXTERNO</t>
  </si>
  <si>
    <t>AMPLIACIÓN ACUEDUCTO VALDESIA SANTO DOMINGO</t>
  </si>
  <si>
    <t xml:space="preserve">AMPLIACION ACUEDUCTO VALDESIA </t>
  </si>
  <si>
    <t>AMPLIACIÓN ACUEDUCTO ORIENTAL, BARRERA DE SALINIDAD Y TRASVASE AL MUNICIPIO SANTO DOMINGO NORTE, PROVINCIA SANTO DOMINGO</t>
  </si>
  <si>
    <t>Ampliación del Acueducto Oriental, Barrera de Salinidad y Trasvase</t>
  </si>
  <si>
    <t>Saneamiento</t>
  </si>
  <si>
    <t>SUPERVISION</t>
  </si>
  <si>
    <t>HABILITACIÓN DE LAS REDES ELECTRICAS DE LOS SISTEMAS ISABELA, ISA-MANA, PLANTA DE VALDESIA Y ESTACION DE BOMBEO EL CALICHE, DISTRITO NACIONAL Y PROV SANTO DOMINGO</t>
  </si>
  <si>
    <t>EQUIPOS DE REDES ELECTRICAS</t>
  </si>
  <si>
    <t>DONACION EXTERNA</t>
  </si>
  <si>
    <t>2.6.5.8.01</t>
  </si>
  <si>
    <t>HABILITACION DE LAS REDES ELECTRICAS</t>
  </si>
  <si>
    <t>SUPERVISIÓN E INSPECCIÓN DE OBRAS</t>
  </si>
  <si>
    <t>2.7.2.4.02</t>
  </si>
  <si>
    <t>MEJORAMIENTO DEL ABASTECIMIENTO DE AGUA POTABLE EN LA PROVINCIA SANTO DOMINGO</t>
  </si>
  <si>
    <t>EQUIPO PARA MEJORAMIENTO DEL ABASTECIMIENTO</t>
  </si>
  <si>
    <t>MEJORAMIENTO DEL ABASTECIMIENTO DE AGUA POTABLE</t>
  </si>
  <si>
    <t>REHABILITACIÓN SISTEMA HAINA MANOGUAYABO, MUNICIPIO SANTO DOMINGO OESTE, PROVINCIA SANTO DOMINGO</t>
  </si>
  <si>
    <t>REHABILITACION SISTEMA HAINA MANOGUAYABO</t>
  </si>
  <si>
    <t>HABILITACIÓN DEPOSITOS REGULADORES EN LOS MUNICIPIOS SANTO DOMINGO NORTE Y OESTE DE LA PROVINCIA SANTO DOMINGO, REGION OZAMA</t>
  </si>
  <si>
    <t xml:space="preserve">HABILITACION DEPOSITOS REGULADORES </t>
  </si>
  <si>
    <t>supervision e inspeccion de obras</t>
  </si>
  <si>
    <t>CONSERVACIÓN DE LA CAPACIDAD INSTALADA DEL  SISTEMA DE AGUA POTABLE LA ISABELA, MUNICIPIO SANTO DOMINGO OESTE, PROVINCIA SANTO DOMINGO</t>
  </si>
  <si>
    <t>CONSERVACION DE LA CAPACIDAD INSTALADA</t>
  </si>
  <si>
    <t>CONSTRUCCIÓN DE SISTEMAS DE AGUA POTABLE EN ZONAS PERIURBANAS DE LA PROVINCIA SANTO DOMINGO</t>
  </si>
  <si>
    <t xml:space="preserve">CONSTRUCCION DE SISTEMA DE AGUA POTABLE </t>
  </si>
  <si>
    <t>REHABILITACIÓN PLANTA DE TRATAMIENTO LOS AMERICANOS, MUNICIPIO LOS ALCARRIZOS, PROVINCIA SANTO DOMINGO</t>
  </si>
  <si>
    <t>REHABILITACION PLANTA DE TRATAMIENTO</t>
  </si>
  <si>
    <t>REHABILITACIÓN PLANTA DE TRATAMIENTO PUERTA DE HIERRO, DISTRITO NACIONAL</t>
  </si>
  <si>
    <t>REHABILITACION PLANTA DE TRATAMIENTO AGUAS RESIDUALES</t>
  </si>
  <si>
    <t>REHABILITACIÓN PLANTA DE TRATAMIENTO VILLAS DE PANTOJA, MUNICIPIO LOS ALCARRIZOS, PROVINCIA SANTO DOMINGO</t>
  </si>
  <si>
    <t>REHABILITACION PLANTA DE TRATAMIENTO VILLAS DE PANTOJA</t>
  </si>
  <si>
    <t>REHABILITACIÓN DE LA PLANTA DE TRATAMIENTO DE LOS ALCARRIZOS, SANTO DOMINGO OESTE</t>
  </si>
  <si>
    <t>REHABILITACION DE LA PLANTA DE TRATAMIENTO</t>
  </si>
  <si>
    <t>CONSTRUCCIÓN DE LA ESTACION DEPURADORA DE AGUAS RESIDUALES DEL RIO OZAMA,  DISTRITO NACIONAL Y PROVINCIA SANTO DOMINGO, REGION OZAMA</t>
  </si>
  <si>
    <t>CONSTRUCCION DE LA ESTACION DEPURADORA DE AGUAS RESIDUALES</t>
  </si>
  <si>
    <t>REHABILITACIÓN DE LA PLANTA DE TRATAMIENTO DE AGUAS RESIDUALES VILLA LIBERACION, SANTO DOMINGO ESTE , PROVINCIA SANTO DOMINGO</t>
  </si>
  <si>
    <t>REHABILITACION DE PLANTA DE TRATAMIENTO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</si>
  <si>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</si>
  <si>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</si>
  <si>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</si>
  <si>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</si>
  <si>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</si>
  <si>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</si>
  <si>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</si>
  <si>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</si>
  <si>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</si>
  <si>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</si>
  <si>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</si>
  <si>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</si>
  <si>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Trimestral</t>
  </si>
  <si>
    <t>CAASD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</si>
</sst>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sz val="14"/>
      <color indexed="8"/>
      <name val="Century Schoolbook"/>
      <family val="1"/>
    </font>
    <font>
      <b/>
      <sz val="14"/>
      <color indexed="8"/>
      <name val="Times New Roman"/>
      <family val="1"/>
    </font>
    <font>
      <sz val="16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top" wrapText="1" readingOrder="1"/>
      <protection locked="0"/>
    </xf>
    <xf numFmtId="164" fontId="3" fillId="0" borderId="0" xfId="1" applyFont="1" applyBorder="1" applyAlignment="1" applyProtection="1">
      <alignment horizontal="center" vertical="center" wrapText="1" readingOrder="1"/>
      <protection locked="0"/>
    </xf>
    <xf numFmtId="164" fontId="0" fillId="0" borderId="0" xfId="1" applyFont="1" applyAlignment="1">
      <alignment horizontal="center" vertical="center"/>
    </xf>
    <xf numFmtId="0" fontId="3" fillId="0" borderId="0" xfId="0" applyFont="1" applyBorder="1" applyAlignment="1" applyProtection="1">
      <alignment vertical="top" wrapText="1" readingOrder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5" xfId="1" applyFont="1" applyBorder="1" applyAlignment="1">
      <alignment horizontal="center" vertical="center" wrapText="1"/>
    </xf>
    <xf numFmtId="164" fontId="7" fillId="3" borderId="6" xfId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wrapText="1" readingOrder="1"/>
      <protection locked="0"/>
    </xf>
    <xf numFmtId="0" fontId="0" fillId="0" borderId="7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2" borderId="4" xfId="1" applyFont="1" applyFill="1" applyBorder="1" applyAlignment="1">
      <alignment horizontal="center" vertical="center" wrapText="1"/>
    </xf>
    <xf numFmtId="164" fontId="0" fillId="4" borderId="5" xfId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readingOrder="1"/>
    </xf>
    <xf numFmtId="164" fontId="9" fillId="2" borderId="2" xfId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 readingOrder="1"/>
      <protection locked="0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" fontId="10" fillId="5" borderId="11" xfId="0" applyNumberFormat="1" applyFont="1" applyFill="1" applyBorder="1" applyAlignment="1">
      <alignment horizontal="center" vertical="center"/>
    </xf>
    <xf numFmtId="4" fontId="10" fillId="5" borderId="12" xfId="0" applyNumberFormat="1" applyFont="1" applyFill="1" applyBorder="1" applyAlignment="1">
      <alignment horizontal="center" vertical="center"/>
    </xf>
    <xf numFmtId="4" fontId="10" fillId="5" borderId="13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107157</xdr:colOff>
      <xdr:row>0</xdr:row>
      <xdr:rowOff>95250</xdr:rowOff>
    </xdr:from>
    <xdr:to>
      <xdr:col>2</xdr:col>
      <xdr:colOff>2042</xdr:colOff>
      <xdr:row>0</xdr:row>
      <xdr:rowOff>816429</xdr:rowOff>
    </xdr:to>
    <xdr:pic>
      <xdr:nvPicPr>
        <xdr:cNvPr id="2" name="Picture 0" descr="99fa89dc-16f8-47d5-8afa-940a8be98cb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157" y="95250"/>
          <a:ext cx="716416" cy="721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topLeftCell="B1" zoomScale="80" zoomScaleNormal="80" workbookViewId="0">
      <pane xSplit="20055" topLeftCell="B1"/>
      <selection activeCell="F10" sqref="F10"/>
      <selection pane="topRight" activeCell="U3" sqref="U1:U1048576"/>
    </sheetView>
  </sheetViews>
  <sheetFormatPr baseColWidth="10" defaultRowHeight="15" x14ac:dyDescent="0.25"/>
  <cols>
    <col min="1" max="1" width="5.85546875" hidden="1" customWidth="1"/>
    <col min="2" max="2" width="12.28515625" style="3" customWidth="1"/>
    <col min="3" max="3" width="10" style="1" customWidth="1"/>
    <col min="4" max="4" width="43.140625" style="12" customWidth="1"/>
    <col min="5" max="5" width="47.85546875" style="3" customWidth="1"/>
    <col min="6" max="6" width="16.140625" style="1" customWidth="1"/>
    <col min="7" max="7" width="11.42578125" style="2"/>
    <col min="8" max="8" width="17.85546875" style="6" bestFit="1" customWidth="1"/>
    <col min="9" max="9" width="15" style="19" bestFit="1" customWidth="1"/>
    <col min="10" max="13" width="16" style="19" bestFit="1" customWidth="1"/>
    <col min="14" max="14" width="15" style="19" bestFit="1" customWidth="1"/>
    <col min="15" max="20" width="16" style="19" bestFit="1" customWidth="1"/>
    <col min="21" max="21" width="17.85546875" style="19" hidden="1" customWidth="1"/>
  </cols>
  <sheetData>
    <row r="1" spans="2:21" ht="75" customHeight="1" x14ac:dyDescent="0.25">
      <c r="B1" s="7"/>
      <c r="C1" s="29" t="s">
        <v>10</v>
      </c>
      <c r="D1" s="29"/>
      <c r="E1" s="29"/>
      <c r="F1" s="29"/>
      <c r="G1" s="29"/>
      <c r="H1" s="29"/>
    </row>
    <row r="2" spans="2:21" ht="18.75" customHeight="1" thickBot="1" x14ac:dyDescent="0.3">
      <c r="B2" s="4"/>
      <c r="C2" s="14"/>
      <c r="D2" s="7"/>
      <c r="E2" s="4"/>
      <c r="F2" s="14"/>
      <c r="G2" s="14"/>
      <c r="H2" s="5"/>
    </row>
    <row r="3" spans="2:21" ht="37.5" customHeight="1" x14ac:dyDescent="0.25">
      <c r="B3" s="25" t="s">
        <v>7</v>
      </c>
      <c r="C3" s="26" t="s">
        <v>0</v>
      </c>
      <c r="D3" s="26" t="s">
        <v>3</v>
      </c>
      <c r="E3" s="26" t="s">
        <v>1</v>
      </c>
      <c r="F3" s="27" t="s">
        <v>2</v>
      </c>
      <c r="G3" s="28" t="s">
        <v>4</v>
      </c>
      <c r="H3" s="22" t="s">
        <v>5</v>
      </c>
      <c r="I3" s="22" t="s">
        <v>49</v>
      </c>
      <c r="J3" s="22" t="s">
        <v>50</v>
      </c>
      <c r="K3" s="22" t="s">
        <v>51</v>
      </c>
      <c r="L3" s="22" t="s">
        <v>52</v>
      </c>
      <c r="M3" s="22" t="s">
        <v>53</v>
      </c>
      <c r="N3" s="22" t="s">
        <v>54</v>
      </c>
      <c r="O3" s="22" t="s">
        <v>55</v>
      </c>
      <c r="P3" s="22" t="s">
        <v>56</v>
      </c>
      <c r="Q3" s="22" t="s">
        <v>57</v>
      </c>
      <c r="R3" s="22" t="s">
        <v>58</v>
      </c>
      <c r="S3" s="22" t="s">
        <v>59</v>
      </c>
      <c r="T3" s="22" t="s">
        <v>60</v>
      </c>
    </row>
    <row r="4" spans="2:21" ht="30" x14ac:dyDescent="0.25">
      <c r="B4" s="30" t="s">
        <v>62</v>
      </c>
      <c r="C4" s="8">
        <v>3668</v>
      </c>
      <c r="D4" s="13" t="s">
        <v>12</v>
      </c>
      <c r="E4" s="9" t="s">
        <v>13</v>
      </c>
      <c r="F4" s="8" t="s">
        <v>6</v>
      </c>
      <c r="G4" s="8" t="s">
        <v>9</v>
      </c>
      <c r="H4" s="10">
        <v>188000000</v>
      </c>
      <c r="I4" s="23"/>
      <c r="J4" s="23">
        <v>100000000</v>
      </c>
      <c r="K4" s="23"/>
      <c r="L4" s="23">
        <v>44000000</v>
      </c>
      <c r="M4" s="23"/>
      <c r="N4" s="23"/>
      <c r="O4" s="23"/>
      <c r="P4" s="23"/>
      <c r="Q4" s="23">
        <v>44000000</v>
      </c>
      <c r="R4" s="23"/>
      <c r="S4" s="23"/>
      <c r="T4" s="23"/>
      <c r="U4" s="20">
        <f>SUM(I4:T4)</f>
        <v>188000000</v>
      </c>
    </row>
    <row r="5" spans="2:21" x14ac:dyDescent="0.25">
      <c r="B5" s="30"/>
      <c r="C5" s="18"/>
      <c r="D5" s="17"/>
      <c r="E5" s="15"/>
      <c r="F5" s="8"/>
      <c r="G5" s="8"/>
      <c r="H5" s="10">
        <v>8000000</v>
      </c>
      <c r="I5" s="23"/>
      <c r="J5" s="23">
        <v>5000000</v>
      </c>
      <c r="K5" s="23"/>
      <c r="L5" s="23">
        <v>1500000</v>
      </c>
      <c r="M5" s="23"/>
      <c r="N5" s="23"/>
      <c r="O5" s="23"/>
      <c r="P5" s="23"/>
      <c r="Q5" s="23">
        <v>1500000</v>
      </c>
      <c r="R5" s="23"/>
      <c r="S5" s="23"/>
      <c r="T5" s="23"/>
      <c r="U5" s="20">
        <f>SUM(I5:T5)</f>
        <v>8000000</v>
      </c>
    </row>
    <row r="6" spans="2:21" ht="60" customHeight="1" x14ac:dyDescent="0.25">
      <c r="B6" s="30"/>
      <c r="C6" s="31">
        <v>6810</v>
      </c>
      <c r="D6" s="34" t="s">
        <v>14</v>
      </c>
      <c r="E6" s="37" t="s">
        <v>15</v>
      </c>
      <c r="F6" s="8" t="s">
        <v>11</v>
      </c>
      <c r="G6" s="8" t="s">
        <v>9</v>
      </c>
      <c r="H6" s="10">
        <v>241200000</v>
      </c>
      <c r="I6" s="23"/>
      <c r="J6" s="23"/>
      <c r="K6" s="23"/>
      <c r="L6" s="23"/>
      <c r="M6" s="23">
        <f>+H6/8</f>
        <v>30150000</v>
      </c>
      <c r="N6" s="23">
        <v>30150000</v>
      </c>
      <c r="O6" s="23">
        <v>30150000</v>
      </c>
      <c r="P6" s="23">
        <v>30150000</v>
      </c>
      <c r="Q6" s="23">
        <v>30150000</v>
      </c>
      <c r="R6" s="23">
        <v>30150000</v>
      </c>
      <c r="S6" s="23">
        <v>30150000</v>
      </c>
      <c r="T6" s="23">
        <v>30150000</v>
      </c>
      <c r="U6" s="20">
        <f t="shared" ref="U6:U37" si="0">SUM(I6:T6)</f>
        <v>241200000</v>
      </c>
    </row>
    <row r="7" spans="2:21" x14ac:dyDescent="0.25">
      <c r="B7" s="30"/>
      <c r="C7" s="32"/>
      <c r="D7" s="35"/>
      <c r="E7" s="38"/>
      <c r="F7" s="8" t="s">
        <v>6</v>
      </c>
      <c r="G7" s="8" t="s">
        <v>9</v>
      </c>
      <c r="H7" s="24">
        <v>229907932</v>
      </c>
      <c r="I7" s="23"/>
      <c r="J7" s="23"/>
      <c r="K7" s="23"/>
      <c r="L7" s="23"/>
      <c r="M7" s="23">
        <f>+H7/8</f>
        <v>28738491.5</v>
      </c>
      <c r="N7" s="23">
        <v>28738491.5</v>
      </c>
      <c r="O7" s="23">
        <v>28738491.5</v>
      </c>
      <c r="P7" s="23">
        <v>28738491.5</v>
      </c>
      <c r="Q7" s="23">
        <v>28738491.5</v>
      </c>
      <c r="R7" s="23">
        <v>28738491.5</v>
      </c>
      <c r="S7" s="23">
        <v>28738491.5</v>
      </c>
      <c r="T7" s="23">
        <v>28738491.5</v>
      </c>
      <c r="U7" s="20">
        <f t="shared" si="0"/>
        <v>229907932</v>
      </c>
    </row>
    <row r="8" spans="2:21" x14ac:dyDescent="0.25">
      <c r="B8" s="30"/>
      <c r="C8" s="32"/>
      <c r="D8" s="35"/>
      <c r="E8" s="16"/>
      <c r="F8" s="8"/>
      <c r="G8" s="8"/>
      <c r="H8" s="10">
        <v>8000000</v>
      </c>
      <c r="I8" s="23"/>
      <c r="J8" s="23"/>
      <c r="K8" s="23"/>
      <c r="L8" s="23"/>
      <c r="M8" s="23">
        <f>+H8/8</f>
        <v>1000000</v>
      </c>
      <c r="N8" s="23">
        <v>1000000</v>
      </c>
      <c r="O8" s="23">
        <v>1000000</v>
      </c>
      <c r="P8" s="23">
        <v>1000000</v>
      </c>
      <c r="Q8" s="23">
        <v>1000000</v>
      </c>
      <c r="R8" s="23">
        <v>1000000</v>
      </c>
      <c r="S8" s="23">
        <v>1000000</v>
      </c>
      <c r="T8" s="23">
        <v>1000000</v>
      </c>
      <c r="U8" s="20"/>
    </row>
    <row r="9" spans="2:21" x14ac:dyDescent="0.25">
      <c r="B9" s="30"/>
      <c r="C9" s="33"/>
      <c r="D9" s="36"/>
      <c r="E9" s="9" t="s">
        <v>16</v>
      </c>
      <c r="F9" s="8" t="s">
        <v>6</v>
      </c>
      <c r="G9" s="8" t="s">
        <v>9</v>
      </c>
      <c r="H9" s="10">
        <v>1000000</v>
      </c>
      <c r="I9" s="23"/>
      <c r="J9" s="23"/>
      <c r="K9" s="23"/>
      <c r="L9" s="23"/>
      <c r="M9" s="23">
        <f t="shared" ref="M9" si="1">+H9/8</f>
        <v>125000</v>
      </c>
      <c r="N9" s="23">
        <v>125000</v>
      </c>
      <c r="O9" s="23">
        <v>125000</v>
      </c>
      <c r="P9" s="23">
        <v>125000</v>
      </c>
      <c r="Q9" s="23">
        <v>125000</v>
      </c>
      <c r="R9" s="23">
        <v>125000</v>
      </c>
      <c r="S9" s="23">
        <v>125000</v>
      </c>
      <c r="T9" s="23">
        <v>125000</v>
      </c>
      <c r="U9" s="20">
        <f t="shared" si="0"/>
        <v>1000000</v>
      </c>
    </row>
    <row r="10" spans="2:21" ht="60" customHeight="1" x14ac:dyDescent="0.25">
      <c r="B10" s="30"/>
      <c r="C10" s="31">
        <v>10192</v>
      </c>
      <c r="D10" s="34" t="s">
        <v>18</v>
      </c>
      <c r="E10" s="9" t="s">
        <v>19</v>
      </c>
      <c r="F10" s="8" t="s">
        <v>20</v>
      </c>
      <c r="G10" s="8" t="s">
        <v>21</v>
      </c>
      <c r="H10" s="10">
        <v>10000000</v>
      </c>
      <c r="I10" s="23">
        <f>+H10*0.21</f>
        <v>2100000</v>
      </c>
      <c r="J10" s="23"/>
      <c r="K10" s="23"/>
      <c r="L10" s="23">
        <f>+H10*0.24</f>
        <v>2400000</v>
      </c>
      <c r="M10" s="23"/>
      <c r="N10" s="23"/>
      <c r="O10" s="23">
        <f>+H10*0.22</f>
        <v>2200000</v>
      </c>
      <c r="P10" s="23"/>
      <c r="Q10" s="23"/>
      <c r="R10" s="23">
        <f>+H10-I10-L10-O10</f>
        <v>3300000</v>
      </c>
      <c r="S10" s="23"/>
      <c r="T10" s="23"/>
      <c r="U10" s="20">
        <f t="shared" si="0"/>
        <v>10000000</v>
      </c>
    </row>
    <row r="11" spans="2:21" x14ac:dyDescent="0.25">
      <c r="B11" s="30"/>
      <c r="C11" s="32"/>
      <c r="D11" s="35"/>
      <c r="E11" s="9" t="s">
        <v>22</v>
      </c>
      <c r="F11" s="8" t="s">
        <v>6</v>
      </c>
      <c r="G11" s="8" t="s">
        <v>9</v>
      </c>
      <c r="H11" s="10">
        <v>148742199</v>
      </c>
      <c r="I11" s="23">
        <f t="shared" ref="I11:I12" si="2">+H11*0.21</f>
        <v>31235861.789999999</v>
      </c>
      <c r="J11" s="23"/>
      <c r="K11" s="23"/>
      <c r="L11" s="23">
        <f t="shared" ref="L11:L12" si="3">+H11*0.24</f>
        <v>35698127.759999998</v>
      </c>
      <c r="M11" s="23"/>
      <c r="N11" s="23"/>
      <c r="O11" s="23">
        <f t="shared" ref="O11:O12" si="4">+H11*0.22</f>
        <v>32723283.780000001</v>
      </c>
      <c r="P11" s="23"/>
      <c r="Q11" s="23"/>
      <c r="R11" s="23">
        <f t="shared" ref="R11:R12" si="5">+H11-I11-L11-O11</f>
        <v>49084925.670000017</v>
      </c>
      <c r="S11" s="23"/>
      <c r="T11" s="23"/>
      <c r="U11" s="20">
        <f t="shared" si="0"/>
        <v>148742199</v>
      </c>
    </row>
    <row r="12" spans="2:21" ht="30" x14ac:dyDescent="0.25">
      <c r="B12" s="30"/>
      <c r="C12" s="33"/>
      <c r="D12" s="36"/>
      <c r="E12" s="9" t="s">
        <v>23</v>
      </c>
      <c r="F12" s="8" t="s">
        <v>20</v>
      </c>
      <c r="G12" s="8" t="s">
        <v>24</v>
      </c>
      <c r="H12" s="10">
        <v>10000000</v>
      </c>
      <c r="I12" s="23">
        <f t="shared" si="2"/>
        <v>2100000</v>
      </c>
      <c r="J12" s="23"/>
      <c r="K12" s="23"/>
      <c r="L12" s="23">
        <f t="shared" si="3"/>
        <v>2400000</v>
      </c>
      <c r="M12" s="23"/>
      <c r="N12" s="23"/>
      <c r="O12" s="23">
        <f t="shared" si="4"/>
        <v>2200000</v>
      </c>
      <c r="P12" s="23"/>
      <c r="Q12" s="23"/>
      <c r="R12" s="23">
        <f t="shared" si="5"/>
        <v>3300000</v>
      </c>
      <c r="S12" s="23"/>
      <c r="T12" s="23"/>
      <c r="U12" s="20">
        <f t="shared" si="0"/>
        <v>10000000</v>
      </c>
    </row>
    <row r="13" spans="2:21" ht="45" customHeight="1" x14ac:dyDescent="0.25">
      <c r="B13" s="30"/>
      <c r="C13" s="31">
        <v>10193</v>
      </c>
      <c r="D13" s="34" t="s">
        <v>25</v>
      </c>
      <c r="E13" s="37" t="s">
        <v>26</v>
      </c>
      <c r="F13" s="8" t="s">
        <v>20</v>
      </c>
      <c r="G13" s="8" t="s">
        <v>21</v>
      </c>
      <c r="H13" s="10">
        <v>10000000</v>
      </c>
      <c r="I13" s="23"/>
      <c r="J13" s="23">
        <f>+H13</f>
        <v>10000000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0">
        <f t="shared" si="0"/>
        <v>10000000</v>
      </c>
    </row>
    <row r="14" spans="2:21" x14ac:dyDescent="0.25">
      <c r="B14" s="30"/>
      <c r="C14" s="32"/>
      <c r="D14" s="35"/>
      <c r="E14" s="38"/>
      <c r="F14" s="8" t="s">
        <v>6</v>
      </c>
      <c r="G14" s="8" t="s">
        <v>21</v>
      </c>
      <c r="H14" s="10">
        <v>1824692</v>
      </c>
      <c r="I14" s="23"/>
      <c r="J14" s="23">
        <f>+H14</f>
        <v>1824692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0">
        <f t="shared" si="0"/>
        <v>1824692</v>
      </c>
    </row>
    <row r="15" spans="2:21" ht="30" x14ac:dyDescent="0.25">
      <c r="B15" s="30"/>
      <c r="C15" s="32"/>
      <c r="D15" s="35"/>
      <c r="E15" s="9" t="s">
        <v>27</v>
      </c>
      <c r="F15" s="8" t="s">
        <v>6</v>
      </c>
      <c r="G15" s="8" t="s">
        <v>9</v>
      </c>
      <c r="H15" s="10">
        <v>230000000</v>
      </c>
      <c r="I15" s="23"/>
      <c r="J15" s="23"/>
      <c r="K15" s="23">
        <f>+H15*0.25</f>
        <v>57500000</v>
      </c>
      <c r="L15" s="23"/>
      <c r="M15" s="23">
        <f>+H15*0.14</f>
        <v>32200000.000000004</v>
      </c>
      <c r="N15" s="23"/>
      <c r="O15" s="23">
        <f>+H15*0.19</f>
        <v>43700000</v>
      </c>
      <c r="P15" s="23"/>
      <c r="Q15" s="23">
        <f>+H15*0.18</f>
        <v>41400000</v>
      </c>
      <c r="R15" s="23"/>
      <c r="S15" s="23">
        <f>+H15-K15-M15-O15-Q15</f>
        <v>55200000</v>
      </c>
      <c r="T15" s="23"/>
      <c r="U15" s="20">
        <f t="shared" si="0"/>
        <v>230000000</v>
      </c>
    </row>
    <row r="16" spans="2:21" x14ac:dyDescent="0.25">
      <c r="B16" s="30"/>
      <c r="C16" s="33"/>
      <c r="D16" s="36"/>
      <c r="E16" s="9" t="s">
        <v>23</v>
      </c>
      <c r="F16" s="8" t="s">
        <v>6</v>
      </c>
      <c r="G16" s="8" t="s">
        <v>24</v>
      </c>
      <c r="H16" s="10">
        <v>12000000</v>
      </c>
      <c r="I16" s="23"/>
      <c r="J16" s="23"/>
      <c r="K16" s="23">
        <f>+H16*0.25</f>
        <v>3000000</v>
      </c>
      <c r="L16" s="23"/>
      <c r="M16" s="23">
        <f>+H16*0.14</f>
        <v>1680000.0000000002</v>
      </c>
      <c r="N16" s="23"/>
      <c r="O16" s="23">
        <f>+H16*0.19</f>
        <v>2280000</v>
      </c>
      <c r="P16" s="23"/>
      <c r="Q16" s="23">
        <f>+H16*0.18</f>
        <v>2160000</v>
      </c>
      <c r="R16" s="23"/>
      <c r="S16" s="23">
        <f>+H16-K16-M16-O16-Q16</f>
        <v>2880000</v>
      </c>
      <c r="T16" s="23"/>
      <c r="U16" s="20">
        <f t="shared" si="0"/>
        <v>12000000</v>
      </c>
    </row>
    <row r="17" spans="2:21" ht="60" customHeight="1" x14ac:dyDescent="0.25">
      <c r="B17" s="30"/>
      <c r="C17" s="31">
        <v>12346</v>
      </c>
      <c r="D17" s="34" t="s">
        <v>28</v>
      </c>
      <c r="E17" s="9" t="s">
        <v>29</v>
      </c>
      <c r="F17" s="8" t="s">
        <v>6</v>
      </c>
      <c r="G17" s="8" t="s">
        <v>9</v>
      </c>
      <c r="H17" s="10">
        <v>375805018</v>
      </c>
      <c r="I17" s="23">
        <f>+H17*0.115</f>
        <v>43217577.07</v>
      </c>
      <c r="J17" s="23"/>
      <c r="K17" s="23"/>
      <c r="L17" s="23">
        <f>+H17*0.21</f>
        <v>78919053.780000001</v>
      </c>
      <c r="M17" s="23">
        <f>+H17*0.13</f>
        <v>48854652.340000004</v>
      </c>
      <c r="N17" s="23"/>
      <c r="O17" s="23">
        <f>+H17*0.14</f>
        <v>52612702.520000003</v>
      </c>
      <c r="P17" s="23">
        <f>+H17*0.08</f>
        <v>30064401.440000001</v>
      </c>
      <c r="Q17" s="23">
        <f>+H17*0.0675</f>
        <v>25366838.715</v>
      </c>
      <c r="R17" s="23">
        <f>+H17*0.0822</f>
        <v>30891172.479599997</v>
      </c>
      <c r="S17" s="23">
        <f>+H17*0.0911</f>
        <v>34235837.139799997</v>
      </c>
      <c r="T17" s="23">
        <f>+H17-I17-L17-M17-O17-P17-Q17-R17-S17</f>
        <v>31642782.515599996</v>
      </c>
      <c r="U17" s="20">
        <f t="shared" si="0"/>
        <v>375805018</v>
      </c>
    </row>
    <row r="18" spans="2:21" x14ac:dyDescent="0.25">
      <c r="B18" s="30"/>
      <c r="C18" s="33"/>
      <c r="D18" s="36"/>
      <c r="E18" s="9" t="s">
        <v>17</v>
      </c>
      <c r="F18" s="8" t="s">
        <v>6</v>
      </c>
      <c r="G18" s="8" t="s">
        <v>24</v>
      </c>
      <c r="H18" s="10">
        <v>20000000</v>
      </c>
      <c r="I18" s="23">
        <f>+H18*0.115</f>
        <v>2300000</v>
      </c>
      <c r="J18" s="23"/>
      <c r="K18" s="23"/>
      <c r="L18" s="23">
        <f>+H18*0.21</f>
        <v>4200000</v>
      </c>
      <c r="M18" s="23">
        <f>+H18*0.13</f>
        <v>2600000</v>
      </c>
      <c r="N18" s="23"/>
      <c r="O18" s="23">
        <f>+H18*0.14</f>
        <v>2800000.0000000005</v>
      </c>
      <c r="P18" s="23">
        <f>+H18*0.08</f>
        <v>1600000</v>
      </c>
      <c r="Q18" s="23">
        <f>+H18*0.0675</f>
        <v>1350000</v>
      </c>
      <c r="R18" s="23">
        <f>+H18*0.0822</f>
        <v>1644000</v>
      </c>
      <c r="S18" s="23">
        <f>+H18*0.0911</f>
        <v>1822000</v>
      </c>
      <c r="T18" s="23">
        <f>+H18-I18-L18-M18-O18-P18-Q18-R18-S18</f>
        <v>1684000</v>
      </c>
      <c r="U18" s="20">
        <f t="shared" si="0"/>
        <v>20000000</v>
      </c>
    </row>
    <row r="19" spans="2:21" ht="60" customHeight="1" x14ac:dyDescent="0.25">
      <c r="B19" s="30"/>
      <c r="C19" s="31">
        <v>12362</v>
      </c>
      <c r="D19" s="34" t="s">
        <v>30</v>
      </c>
      <c r="E19" s="37" t="s">
        <v>31</v>
      </c>
      <c r="F19" s="8" t="s">
        <v>20</v>
      </c>
      <c r="G19" s="8" t="s">
        <v>9</v>
      </c>
      <c r="H19" s="10">
        <v>20000000</v>
      </c>
      <c r="I19" s="23"/>
      <c r="J19" s="23">
        <f>+H19*0.3</f>
        <v>6000000</v>
      </c>
      <c r="K19" s="23"/>
      <c r="L19" s="23"/>
      <c r="M19" s="23"/>
      <c r="N19" s="23"/>
      <c r="O19" s="23">
        <f>+H19*0.1</f>
        <v>2000000</v>
      </c>
      <c r="P19" s="23">
        <f>+H19*0.1</f>
        <v>2000000</v>
      </c>
      <c r="Q19" s="23">
        <f>+H19*0.1</f>
        <v>2000000</v>
      </c>
      <c r="R19" s="23">
        <v>2000000</v>
      </c>
      <c r="S19" s="23">
        <f>+H19*0.15</f>
        <v>3000000</v>
      </c>
      <c r="T19" s="23">
        <f>+H19*0.15</f>
        <v>3000000</v>
      </c>
      <c r="U19" s="20">
        <f t="shared" si="0"/>
        <v>20000000</v>
      </c>
    </row>
    <row r="20" spans="2:21" x14ac:dyDescent="0.25">
      <c r="B20" s="30"/>
      <c r="C20" s="32"/>
      <c r="D20" s="35"/>
      <c r="E20" s="38"/>
      <c r="F20" s="8" t="s">
        <v>6</v>
      </c>
      <c r="G20" s="8" t="s">
        <v>9</v>
      </c>
      <c r="H20" s="10">
        <v>7000000</v>
      </c>
      <c r="I20" s="23"/>
      <c r="J20" s="23">
        <f t="shared" ref="J20:J21" si="6">+H20*0.3</f>
        <v>2100000</v>
      </c>
      <c r="K20" s="23"/>
      <c r="L20" s="23"/>
      <c r="M20" s="23"/>
      <c r="N20" s="23"/>
      <c r="O20" s="23">
        <f t="shared" ref="O20:O21" si="7">+H20*0.1</f>
        <v>700000</v>
      </c>
      <c r="P20" s="23">
        <f t="shared" ref="P20:P21" si="8">+H20*0.1</f>
        <v>700000</v>
      </c>
      <c r="Q20" s="23">
        <f t="shared" ref="Q20:Q21" si="9">+H20*0.1</f>
        <v>700000</v>
      </c>
      <c r="R20" s="23">
        <v>700000</v>
      </c>
      <c r="S20" s="23">
        <f t="shared" ref="S20:S21" si="10">+H20*0.15</f>
        <v>1050000</v>
      </c>
      <c r="T20" s="23">
        <f t="shared" ref="T20:T21" si="11">+H20*0.15</f>
        <v>1050000</v>
      </c>
      <c r="U20" s="20">
        <f t="shared" si="0"/>
        <v>7000000</v>
      </c>
    </row>
    <row r="21" spans="2:21" x14ac:dyDescent="0.25">
      <c r="B21" s="30"/>
      <c r="C21" s="33"/>
      <c r="D21" s="36"/>
      <c r="E21" s="9" t="s">
        <v>32</v>
      </c>
      <c r="F21" s="8" t="s">
        <v>6</v>
      </c>
      <c r="G21" s="8" t="s">
        <v>24</v>
      </c>
      <c r="H21" s="10">
        <v>3400001</v>
      </c>
      <c r="I21" s="23"/>
      <c r="J21" s="23">
        <f t="shared" si="6"/>
        <v>1020000.2999999999</v>
      </c>
      <c r="K21" s="23"/>
      <c r="L21" s="23"/>
      <c r="M21" s="23"/>
      <c r="N21" s="23"/>
      <c r="O21" s="23">
        <f t="shared" si="7"/>
        <v>340000.10000000003</v>
      </c>
      <c r="P21" s="23">
        <f t="shared" si="8"/>
        <v>340000.10000000003</v>
      </c>
      <c r="Q21" s="23">
        <f t="shared" si="9"/>
        <v>340000.10000000003</v>
      </c>
      <c r="R21" s="23">
        <v>340000</v>
      </c>
      <c r="S21" s="23">
        <f t="shared" si="10"/>
        <v>510000.14999999997</v>
      </c>
      <c r="T21" s="23">
        <f t="shared" si="11"/>
        <v>510000.14999999997</v>
      </c>
      <c r="U21" s="20">
        <f t="shared" si="0"/>
        <v>3400000.9</v>
      </c>
    </row>
    <row r="22" spans="2:21" ht="60" customHeight="1" x14ac:dyDescent="0.25">
      <c r="B22" s="30"/>
      <c r="C22" s="31">
        <v>12369</v>
      </c>
      <c r="D22" s="34" t="s">
        <v>33</v>
      </c>
      <c r="E22" s="9" t="s">
        <v>34</v>
      </c>
      <c r="F22" s="8" t="s">
        <v>6</v>
      </c>
      <c r="G22" s="8" t="s">
        <v>9</v>
      </c>
      <c r="H22" s="10">
        <v>152000000</v>
      </c>
      <c r="I22" s="23"/>
      <c r="J22" s="23"/>
      <c r="K22" s="23">
        <f>+H22*0.42</f>
        <v>63840000</v>
      </c>
      <c r="L22" s="23">
        <f>+H22*0.23</f>
        <v>34960000</v>
      </c>
      <c r="M22" s="23">
        <f>+H22*0.15</f>
        <v>22800000</v>
      </c>
      <c r="N22" s="23"/>
      <c r="O22" s="23"/>
      <c r="P22" s="23">
        <f>+H22-K22-L22-M22</f>
        <v>30400000</v>
      </c>
      <c r="Q22" s="23"/>
      <c r="R22" s="23"/>
      <c r="S22" s="23"/>
      <c r="T22" s="23"/>
      <c r="U22" s="20">
        <f t="shared" si="0"/>
        <v>152000000</v>
      </c>
    </row>
    <row r="23" spans="2:21" x14ac:dyDescent="0.25">
      <c r="B23" s="30"/>
      <c r="C23" s="33"/>
      <c r="D23" s="36"/>
      <c r="E23" s="9" t="s">
        <v>17</v>
      </c>
      <c r="F23" s="8" t="s">
        <v>6</v>
      </c>
      <c r="G23" s="8" t="s">
        <v>24</v>
      </c>
      <c r="H23" s="10">
        <v>8000000</v>
      </c>
      <c r="I23" s="23"/>
      <c r="J23" s="23"/>
      <c r="K23" s="23">
        <f>+H23*0.42</f>
        <v>3360000</v>
      </c>
      <c r="L23" s="23">
        <f>+H23*0.23</f>
        <v>1840000</v>
      </c>
      <c r="M23" s="23">
        <f>+H23*0.15</f>
        <v>1200000</v>
      </c>
      <c r="N23" s="23"/>
      <c r="O23" s="23"/>
      <c r="P23" s="23">
        <f>+H23-K23-L23-M23</f>
        <v>1600000</v>
      </c>
      <c r="Q23" s="23"/>
      <c r="R23" s="23"/>
      <c r="S23" s="23"/>
      <c r="T23" s="23"/>
      <c r="U23" s="20">
        <f t="shared" si="0"/>
        <v>8000000</v>
      </c>
    </row>
    <row r="24" spans="2:21" ht="45" customHeight="1" x14ac:dyDescent="0.25">
      <c r="B24" s="30"/>
      <c r="C24" s="31">
        <v>12378</v>
      </c>
      <c r="D24" s="34" t="s">
        <v>35</v>
      </c>
      <c r="E24" s="9" t="s">
        <v>36</v>
      </c>
      <c r="F24" s="8" t="s">
        <v>11</v>
      </c>
      <c r="G24" s="8" t="s">
        <v>9</v>
      </c>
      <c r="H24" s="10">
        <v>57300000</v>
      </c>
      <c r="I24" s="23"/>
      <c r="J24" s="23"/>
      <c r="K24" s="23"/>
      <c r="L24" s="23"/>
      <c r="M24" s="23"/>
      <c r="N24" s="23"/>
      <c r="O24" s="23">
        <f>+H24/6</f>
        <v>9550000</v>
      </c>
      <c r="P24" s="23">
        <v>9550000</v>
      </c>
      <c r="Q24" s="23">
        <v>9550000</v>
      </c>
      <c r="R24" s="23">
        <v>9550000</v>
      </c>
      <c r="S24" s="23">
        <v>9550000</v>
      </c>
      <c r="T24" s="23">
        <v>9550000</v>
      </c>
      <c r="U24" s="20">
        <f t="shared" si="0"/>
        <v>57300000</v>
      </c>
    </row>
    <row r="25" spans="2:21" ht="30" x14ac:dyDescent="0.25">
      <c r="B25" s="30"/>
      <c r="C25" s="33"/>
      <c r="D25" s="36"/>
      <c r="E25" s="9" t="s">
        <v>17</v>
      </c>
      <c r="F25" s="8" t="s">
        <v>11</v>
      </c>
      <c r="G25" s="8" t="s">
        <v>24</v>
      </c>
      <c r="H25" s="10">
        <v>3000000</v>
      </c>
      <c r="I25" s="23"/>
      <c r="J25" s="23"/>
      <c r="K25" s="23"/>
      <c r="L25" s="23"/>
      <c r="M25" s="23"/>
      <c r="N25" s="23"/>
      <c r="O25" s="23">
        <f>+H25/6</f>
        <v>500000</v>
      </c>
      <c r="P25" s="23">
        <v>500000</v>
      </c>
      <c r="Q25" s="23">
        <v>500000</v>
      </c>
      <c r="R25" s="23">
        <v>500000</v>
      </c>
      <c r="S25" s="23">
        <v>500000</v>
      </c>
      <c r="T25" s="23">
        <v>500000</v>
      </c>
      <c r="U25" s="20">
        <f t="shared" si="0"/>
        <v>3000000</v>
      </c>
    </row>
    <row r="26" spans="2:21" ht="45" customHeight="1" x14ac:dyDescent="0.25">
      <c r="B26" s="30"/>
      <c r="C26" s="31">
        <v>12391</v>
      </c>
      <c r="D26" s="34" t="s">
        <v>37</v>
      </c>
      <c r="E26" s="9" t="s">
        <v>38</v>
      </c>
      <c r="F26" s="8" t="s">
        <v>6</v>
      </c>
      <c r="G26" s="8" t="s">
        <v>9</v>
      </c>
      <c r="H26" s="10">
        <v>6365000</v>
      </c>
      <c r="I26" s="23"/>
      <c r="J26" s="23"/>
      <c r="K26" s="23">
        <f>+H26</f>
        <v>6365000</v>
      </c>
      <c r="L26" s="23"/>
      <c r="M26" s="23"/>
      <c r="N26" s="23"/>
      <c r="O26" s="23"/>
      <c r="P26" s="23"/>
      <c r="Q26" s="23"/>
      <c r="R26" s="23"/>
      <c r="S26" s="23"/>
      <c r="T26" s="23"/>
      <c r="U26" s="20">
        <f t="shared" si="0"/>
        <v>6365000</v>
      </c>
    </row>
    <row r="27" spans="2:21" x14ac:dyDescent="0.25">
      <c r="B27" s="30"/>
      <c r="C27" s="33"/>
      <c r="D27" s="36"/>
      <c r="E27" s="9" t="s">
        <v>17</v>
      </c>
      <c r="F27" s="8" t="s">
        <v>6</v>
      </c>
      <c r="G27" s="8" t="s">
        <v>24</v>
      </c>
      <c r="H27" s="10">
        <v>335000</v>
      </c>
      <c r="I27" s="23"/>
      <c r="J27" s="23"/>
      <c r="K27" s="23">
        <f>+H27</f>
        <v>335000</v>
      </c>
      <c r="L27" s="23"/>
      <c r="M27" s="23"/>
      <c r="N27" s="23"/>
      <c r="O27" s="23"/>
      <c r="P27" s="23"/>
      <c r="Q27" s="23"/>
      <c r="R27" s="23"/>
      <c r="S27" s="23"/>
      <c r="T27" s="23"/>
      <c r="U27" s="20">
        <f t="shared" si="0"/>
        <v>335000</v>
      </c>
    </row>
    <row r="28" spans="2:21" ht="30" x14ac:dyDescent="0.25">
      <c r="B28" s="30"/>
      <c r="C28" s="8">
        <v>12394</v>
      </c>
      <c r="D28" s="13" t="s">
        <v>39</v>
      </c>
      <c r="E28" s="9" t="s">
        <v>40</v>
      </c>
      <c r="F28" s="8" t="s">
        <v>6</v>
      </c>
      <c r="G28" s="8" t="s">
        <v>9</v>
      </c>
      <c r="H28" s="10">
        <v>40720158</v>
      </c>
      <c r="I28" s="23"/>
      <c r="J28" s="23">
        <f>+H28*0.2</f>
        <v>8144031.6000000006</v>
      </c>
      <c r="K28" s="23"/>
      <c r="L28" s="23">
        <f>+H28*0.19</f>
        <v>7736830.0200000005</v>
      </c>
      <c r="M28" s="23">
        <f>+H28*0.13</f>
        <v>5293620.54</v>
      </c>
      <c r="N28" s="23"/>
      <c r="O28" s="23">
        <f>+H28*0.17</f>
        <v>6922426.8600000003</v>
      </c>
      <c r="P28" s="23">
        <f>+H28*0.11</f>
        <v>4479217.38</v>
      </c>
      <c r="Q28" s="23"/>
      <c r="R28" s="23">
        <f>+H28-J28-L28-M28-O28-P28</f>
        <v>8144031.6000000006</v>
      </c>
      <c r="S28" s="23"/>
      <c r="T28" s="23"/>
      <c r="U28" s="20">
        <f t="shared" si="0"/>
        <v>40720158</v>
      </c>
    </row>
    <row r="29" spans="2:21" x14ac:dyDescent="0.25">
      <c r="B29" s="30"/>
      <c r="C29" s="18"/>
      <c r="D29" s="17"/>
      <c r="E29" s="9"/>
      <c r="F29" s="8"/>
      <c r="G29" s="8"/>
      <c r="H29" s="10">
        <v>2000000</v>
      </c>
      <c r="I29" s="23"/>
      <c r="J29" s="23">
        <f>+H29*0.2</f>
        <v>400000</v>
      </c>
      <c r="K29" s="23"/>
      <c r="L29" s="23">
        <f>+H29*0.19</f>
        <v>380000</v>
      </c>
      <c r="M29" s="23">
        <f>+H29*0.13</f>
        <v>260000</v>
      </c>
      <c r="N29" s="23"/>
      <c r="O29" s="23">
        <f>+H29*0.17</f>
        <v>340000</v>
      </c>
      <c r="P29" s="23">
        <f>+H29*0.11</f>
        <v>220000</v>
      </c>
      <c r="Q29" s="23"/>
      <c r="R29" s="23">
        <f>+H29-J29-L29-M29-O29-P29</f>
        <v>400000</v>
      </c>
      <c r="S29" s="23"/>
      <c r="T29" s="23"/>
      <c r="U29" s="20">
        <f t="shared" si="0"/>
        <v>2000000</v>
      </c>
    </row>
    <row r="30" spans="2:21" ht="45" customHeight="1" x14ac:dyDescent="0.25">
      <c r="B30" s="30"/>
      <c r="C30" s="31">
        <v>12396</v>
      </c>
      <c r="D30" s="34" t="s">
        <v>41</v>
      </c>
      <c r="E30" s="9" t="s">
        <v>42</v>
      </c>
      <c r="F30" s="8" t="s">
        <v>6</v>
      </c>
      <c r="G30" s="8" t="s">
        <v>9</v>
      </c>
      <c r="H30" s="10">
        <v>8000000</v>
      </c>
      <c r="I30" s="23"/>
      <c r="J30" s="23">
        <f>+H30*0.2</f>
        <v>1600000</v>
      </c>
      <c r="K30" s="23"/>
      <c r="L30" s="23">
        <f>+H30*0.19</f>
        <v>1520000</v>
      </c>
      <c r="M30" s="23">
        <f>+H30*0.13</f>
        <v>1040000</v>
      </c>
      <c r="N30" s="23"/>
      <c r="O30" s="23">
        <f>+H30*0.17</f>
        <v>1360000</v>
      </c>
      <c r="P30" s="23">
        <f>+H30*0.11</f>
        <v>880000</v>
      </c>
      <c r="Q30" s="23"/>
      <c r="R30" s="23">
        <f>+H30-J30-L30-M30-O30-P30</f>
        <v>1600000</v>
      </c>
      <c r="S30" s="23"/>
      <c r="T30" s="23"/>
      <c r="U30" s="20">
        <f t="shared" si="0"/>
        <v>8000000</v>
      </c>
    </row>
    <row r="31" spans="2:21" x14ac:dyDescent="0.25">
      <c r="B31" s="30"/>
      <c r="C31" s="33"/>
      <c r="D31" s="36"/>
      <c r="E31" s="9" t="s">
        <v>17</v>
      </c>
      <c r="F31" s="8" t="s">
        <v>6</v>
      </c>
      <c r="G31" s="8" t="s">
        <v>24</v>
      </c>
      <c r="H31" s="10">
        <v>400000</v>
      </c>
      <c r="I31" s="23"/>
      <c r="J31" s="23">
        <f>+H31*0.2</f>
        <v>80000</v>
      </c>
      <c r="K31" s="23"/>
      <c r="L31" s="23">
        <f>+H31*0.19</f>
        <v>76000</v>
      </c>
      <c r="M31" s="23">
        <f>+H31*0.13</f>
        <v>52000</v>
      </c>
      <c r="N31" s="23"/>
      <c r="O31" s="23">
        <f>+H31*0.17</f>
        <v>68000</v>
      </c>
      <c r="P31" s="23">
        <f>+H31*0.11</f>
        <v>44000</v>
      </c>
      <c r="Q31" s="23"/>
      <c r="R31" s="23">
        <f>+H31-J31-L31-M31-O31-P31</f>
        <v>80000</v>
      </c>
      <c r="S31" s="23"/>
      <c r="T31" s="23"/>
      <c r="U31" s="20">
        <f t="shared" si="0"/>
        <v>400000</v>
      </c>
    </row>
    <row r="32" spans="2:21" ht="45" customHeight="1" x14ac:dyDescent="0.25">
      <c r="B32" s="30"/>
      <c r="C32" s="31">
        <v>12494</v>
      </c>
      <c r="D32" s="34" t="s">
        <v>43</v>
      </c>
      <c r="E32" s="9" t="s">
        <v>44</v>
      </c>
      <c r="F32" s="8" t="s">
        <v>6</v>
      </c>
      <c r="G32" s="8" t="s">
        <v>9</v>
      </c>
      <c r="H32" s="10">
        <v>32200000</v>
      </c>
      <c r="I32" s="23">
        <f>+H32*0.25</f>
        <v>8050000</v>
      </c>
      <c r="J32" s="23"/>
      <c r="K32" s="23"/>
      <c r="L32" s="23">
        <f>+H32*0.3</f>
        <v>9660000</v>
      </c>
      <c r="M32" s="23"/>
      <c r="N32" s="23">
        <f>+H32*0.16</f>
        <v>5152000</v>
      </c>
      <c r="O32" s="23"/>
      <c r="P32" s="23"/>
      <c r="Q32" s="23"/>
      <c r="R32" s="23">
        <f>+H32-I32-L32-N32</f>
        <v>9338000</v>
      </c>
      <c r="S32" s="23"/>
      <c r="T32" s="23"/>
      <c r="U32" s="20">
        <f t="shared" si="0"/>
        <v>32200000</v>
      </c>
    </row>
    <row r="33" spans="2:21" x14ac:dyDescent="0.25">
      <c r="B33" s="30"/>
      <c r="C33" s="33"/>
      <c r="D33" s="36"/>
      <c r="E33" s="9" t="s">
        <v>17</v>
      </c>
      <c r="F33" s="8" t="s">
        <v>6</v>
      </c>
      <c r="G33" s="8" t="s">
        <v>24</v>
      </c>
      <c r="H33" s="10">
        <v>2000000</v>
      </c>
      <c r="I33" s="23">
        <f>+H33*0.25</f>
        <v>500000</v>
      </c>
      <c r="J33" s="23"/>
      <c r="K33" s="23"/>
      <c r="L33" s="23">
        <f>+H33*0.3</f>
        <v>600000</v>
      </c>
      <c r="M33" s="23"/>
      <c r="N33" s="23">
        <f>+H33*0.16</f>
        <v>320000</v>
      </c>
      <c r="O33" s="23"/>
      <c r="P33" s="23"/>
      <c r="Q33" s="23"/>
      <c r="R33" s="23">
        <f>+H33-I33-L33-N33</f>
        <v>580000</v>
      </c>
      <c r="S33" s="23"/>
      <c r="T33" s="23"/>
      <c r="U33" s="20">
        <f t="shared" si="0"/>
        <v>2000000</v>
      </c>
    </row>
    <row r="34" spans="2:21" ht="60" customHeight="1" x14ac:dyDescent="0.25">
      <c r="B34" s="30"/>
      <c r="C34" s="31">
        <v>12509</v>
      </c>
      <c r="D34" s="34" t="s">
        <v>45</v>
      </c>
      <c r="E34" s="9" t="s">
        <v>46</v>
      </c>
      <c r="F34" s="8" t="s">
        <v>11</v>
      </c>
      <c r="G34" s="8" t="s">
        <v>9</v>
      </c>
      <c r="H34" s="10">
        <v>670457947</v>
      </c>
      <c r="I34" s="23"/>
      <c r="J34" s="23">
        <f>+H34*0.121</f>
        <v>81125411.586999997</v>
      </c>
      <c r="K34" s="23">
        <f>+H34*0.068</f>
        <v>45591140.396000005</v>
      </c>
      <c r="L34" s="23">
        <f>+H34*0.238</f>
        <v>159568991.38600001</v>
      </c>
      <c r="M34" s="23">
        <f>+H34*0.0633</f>
        <v>42439988.045099996</v>
      </c>
      <c r="N34" s="23">
        <f>+H34*0.0122</f>
        <v>8179586.9534000009</v>
      </c>
      <c r="O34" s="23">
        <f>+H34*0.0299</f>
        <v>20046692.6153</v>
      </c>
      <c r="P34" s="23">
        <f>+H34*0.0222</f>
        <v>14884166.4234</v>
      </c>
      <c r="Q34" s="23">
        <f>+H34*0.1003</f>
        <v>67246932.084099993</v>
      </c>
      <c r="R34" s="23">
        <f>+H34*0.109</f>
        <v>73079916.223000005</v>
      </c>
      <c r="S34" s="23">
        <f>+H34*0.132</f>
        <v>88500449.004000008</v>
      </c>
      <c r="T34" s="23">
        <f>+H34-J34-K34-L34-M34-N34-O34-P34-Q34-R34-S34</f>
        <v>69794672.282699943</v>
      </c>
      <c r="U34" s="20">
        <f t="shared" si="0"/>
        <v>670457946.99999988</v>
      </c>
    </row>
    <row r="35" spans="2:21" ht="30" x14ac:dyDescent="0.25">
      <c r="B35" s="30"/>
      <c r="C35" s="33"/>
      <c r="D35" s="36"/>
      <c r="E35" s="9" t="s">
        <v>32</v>
      </c>
      <c r="F35" s="8" t="s">
        <v>11</v>
      </c>
      <c r="G35" s="8" t="s">
        <v>24</v>
      </c>
      <c r="H35" s="10">
        <v>30000000</v>
      </c>
      <c r="I35" s="23"/>
      <c r="J35" s="23">
        <f>+H35*0.121</f>
        <v>3630000</v>
      </c>
      <c r="K35" s="23">
        <f>+H35*0.068</f>
        <v>2040000.0000000002</v>
      </c>
      <c r="L35" s="23">
        <f>+H35*0.238</f>
        <v>7140000</v>
      </c>
      <c r="M35" s="23">
        <f>+H35*0.0633</f>
        <v>1898999.9999999998</v>
      </c>
      <c r="N35" s="23">
        <f>+H35*0.0122</f>
        <v>366000</v>
      </c>
      <c r="O35" s="23">
        <f>+H35*0.0299</f>
        <v>897000</v>
      </c>
      <c r="P35" s="23">
        <f>+H35*0.0222</f>
        <v>666000</v>
      </c>
      <c r="Q35" s="23">
        <f>+H35*0.1003</f>
        <v>3009000</v>
      </c>
      <c r="R35" s="23">
        <f>+H35*0.109</f>
        <v>3270000</v>
      </c>
      <c r="S35" s="23">
        <f>+H35*0.132</f>
        <v>3960000</v>
      </c>
      <c r="T35" s="23">
        <f>+H35-J35-K35-L35-M35-N35-O35-P35-Q35-R35-S35</f>
        <v>3123000</v>
      </c>
      <c r="U35" s="20">
        <f t="shared" si="0"/>
        <v>30000000</v>
      </c>
    </row>
    <row r="36" spans="2:21" ht="60" x14ac:dyDescent="0.25">
      <c r="B36" s="30"/>
      <c r="C36" s="8">
        <v>13303</v>
      </c>
      <c r="D36" s="13" t="s">
        <v>47</v>
      </c>
      <c r="E36" s="9" t="s">
        <v>48</v>
      </c>
      <c r="F36" s="8" t="s">
        <v>6</v>
      </c>
      <c r="G36" s="8" t="s">
        <v>9</v>
      </c>
      <c r="H36" s="10">
        <v>58700000</v>
      </c>
      <c r="I36" s="23"/>
      <c r="J36" s="23"/>
      <c r="K36" s="23">
        <f>+H36*0.2</f>
        <v>11740000</v>
      </c>
      <c r="L36" s="23"/>
      <c r="M36" s="23">
        <f>+H36*0.143</f>
        <v>8394100</v>
      </c>
      <c r="N36" s="23"/>
      <c r="O36" s="23"/>
      <c r="P36" s="23"/>
      <c r="Q36" s="23">
        <f>+H36*0.571</f>
        <v>33517699.999999996</v>
      </c>
      <c r="R36" s="23"/>
      <c r="S36" s="23">
        <f>+H36-K36-M36-Q36</f>
        <v>5048200.0000000037</v>
      </c>
      <c r="T36" s="23"/>
      <c r="U36" s="20">
        <f t="shared" si="0"/>
        <v>58700000</v>
      </c>
    </row>
    <row r="37" spans="2:21" ht="30" customHeight="1" thickBot="1" x14ac:dyDescent="0.3">
      <c r="B37" s="42" t="s">
        <v>8</v>
      </c>
      <c r="C37" s="43"/>
      <c r="D37" s="43"/>
      <c r="E37" s="43"/>
      <c r="F37" s="43"/>
      <c r="G37" s="44"/>
      <c r="H37" s="11">
        <f>SUM(H4:H36)</f>
        <v>2596357947</v>
      </c>
      <c r="I37" s="11">
        <f>SUM(I4:I36)</f>
        <v>89503438.859999999</v>
      </c>
      <c r="J37" s="11">
        <f t="shared" ref="J37:T37" si="12">SUM(J4:J36)</f>
        <v>220924135.48699999</v>
      </c>
      <c r="K37" s="11">
        <f t="shared" si="12"/>
        <v>193771140.396</v>
      </c>
      <c r="L37" s="11">
        <f t="shared" si="12"/>
        <v>392599002.94599998</v>
      </c>
      <c r="M37" s="11">
        <f t="shared" si="12"/>
        <v>228726852.4251</v>
      </c>
      <c r="N37" s="11">
        <f t="shared" si="12"/>
        <v>74031078.453400001</v>
      </c>
      <c r="O37" s="11">
        <f t="shared" si="12"/>
        <v>241253597.37530002</v>
      </c>
      <c r="P37" s="11">
        <f t="shared" si="12"/>
        <v>157941276.8434</v>
      </c>
      <c r="Q37" s="11">
        <f t="shared" si="12"/>
        <v>292653962.39910001</v>
      </c>
      <c r="R37" s="11">
        <f t="shared" si="12"/>
        <v>257815537.47260004</v>
      </c>
      <c r="S37" s="11">
        <f t="shared" si="12"/>
        <v>266269977.79380003</v>
      </c>
      <c r="T37" s="11">
        <f t="shared" si="12"/>
        <v>180867946.44829994</v>
      </c>
      <c r="U37" s="21">
        <f t="shared" si="0"/>
        <v>2596357946.8999996</v>
      </c>
    </row>
    <row r="38" spans="2:21" ht="19.5" thickBot="1" x14ac:dyDescent="0.3">
      <c r="B38" s="45" t="s">
        <v>61</v>
      </c>
      <c r="C38" s="46"/>
      <c r="D38" s="46"/>
      <c r="E38" s="46"/>
      <c r="F38" s="46"/>
      <c r="G38" s="46"/>
      <c r="H38" s="47"/>
      <c r="I38" s="39">
        <f>+I37+J37+K37</f>
        <v>504198714.74300003</v>
      </c>
      <c r="J38" s="40"/>
      <c r="K38" s="41"/>
      <c r="L38" s="39">
        <f>+L37+M37+N37</f>
        <v>695356933.82449996</v>
      </c>
      <c r="M38" s="40"/>
      <c r="N38" s="41"/>
      <c r="O38" s="39">
        <f>+O37+P37+Q37</f>
        <v>691848836.6178</v>
      </c>
      <c r="P38" s="40"/>
      <c r="Q38" s="41"/>
      <c r="R38" s="39">
        <f>+R37+S37+T37</f>
        <v>704953461.71469998</v>
      </c>
      <c r="S38" s="40"/>
      <c r="T38" s="41"/>
    </row>
  </sheetData>
  <mergeCells count="33">
    <mergeCell ref="I38:K38"/>
    <mergeCell ref="L38:N38"/>
    <mergeCell ref="O38:Q38"/>
    <mergeCell ref="R38:T38"/>
    <mergeCell ref="D34:D35"/>
    <mergeCell ref="B37:G37"/>
    <mergeCell ref="B38:H38"/>
    <mergeCell ref="E13:E14"/>
    <mergeCell ref="E6:E7"/>
    <mergeCell ref="D10:D12"/>
    <mergeCell ref="D13:D16"/>
    <mergeCell ref="D17:D18"/>
    <mergeCell ref="D24:D25"/>
    <mergeCell ref="D26:D27"/>
    <mergeCell ref="D30:D31"/>
    <mergeCell ref="D32:D33"/>
    <mergeCell ref="E19:E20"/>
    <mergeCell ref="C1:H1"/>
    <mergeCell ref="B4:B36"/>
    <mergeCell ref="C6:C9"/>
    <mergeCell ref="C10:C12"/>
    <mergeCell ref="C13:C16"/>
    <mergeCell ref="C17:C18"/>
    <mergeCell ref="C19:C21"/>
    <mergeCell ref="C22:C23"/>
    <mergeCell ref="C24:C25"/>
    <mergeCell ref="C26:C27"/>
    <mergeCell ref="C30:C31"/>
    <mergeCell ref="C32:C33"/>
    <mergeCell ref="C34:C35"/>
    <mergeCell ref="D6:D9"/>
    <mergeCell ref="D19:D21"/>
    <mergeCell ref="D22:D23"/>
  </mergeCells>
  <pageMargins left="1.1023622047244095" right="0.11811023622047245" top="0.15748031496062992" bottom="0.15748031496062992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Hoja6</vt:lpstr>
      <vt:lpstr>Hoja6!Títulos_a_imprimir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mrivera</dc:creator>
  <cp:lastModifiedBy>Sergio M. Polanco Albuerme</cp:lastModifiedBy>
  <cp:lastPrinted>2016-12-19T13:25:47Z</cp:lastPrinted>
  <dcterms:created xsi:type="dcterms:W3CDTF">2016-11-25T11:59:27Z</dcterms:created>
  <dcterms:modified xsi:type="dcterms:W3CDTF">2017-03-09T14:54:48Z</dcterms:modified>
</cp:coreProperties>
</file>